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oonisar\Desktop\"/>
    </mc:Choice>
  </mc:AlternateContent>
  <xr:revisionPtr revIDLastSave="0" documentId="8_{36FD9F87-30F7-4699-9043-C21639129796}" xr6:coauthVersionLast="47" xr6:coauthVersionMax="47" xr10:uidLastSave="{00000000-0000-0000-0000-000000000000}"/>
  <bookViews>
    <workbookView xWindow="-108" yWindow="-108" windowWidth="23256" windowHeight="12576"/>
  </bookViews>
  <sheets>
    <sheet name="FY 2015 CS estimates" sheetId="2" r:id="rId1"/>
    <sheet name="Sheet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2" l="1"/>
  <c r="P2" i="2"/>
  <c r="U2" i="2"/>
  <c r="P3" i="2"/>
  <c r="U3" i="2"/>
  <c r="P4" i="2"/>
  <c r="U4" i="2"/>
  <c r="P5" i="2"/>
  <c r="U5" i="2"/>
  <c r="P6" i="2"/>
  <c r="U6" i="2"/>
  <c r="P7" i="2"/>
  <c r="U7" i="2"/>
  <c r="P8" i="2"/>
  <c r="P9" i="2"/>
  <c r="U9" i="2"/>
  <c r="P10" i="2"/>
  <c r="U10" i="2"/>
  <c r="P11" i="2"/>
  <c r="U11" i="2"/>
  <c r="P12" i="2"/>
  <c r="U12" i="2"/>
  <c r="P13" i="2"/>
  <c r="U13" i="2"/>
  <c r="P14" i="2"/>
  <c r="U14" i="2"/>
  <c r="P15" i="2"/>
  <c r="U15" i="2"/>
  <c r="P16" i="2"/>
  <c r="U16" i="2"/>
  <c r="P17" i="2"/>
  <c r="U17" i="2"/>
  <c r="P18" i="2"/>
  <c r="U18" i="2"/>
  <c r="P19" i="2"/>
  <c r="U19" i="2"/>
  <c r="P20" i="2"/>
  <c r="U20" i="2"/>
  <c r="P21" i="2"/>
  <c r="P22" i="2"/>
  <c r="U22" i="2"/>
  <c r="P23" i="2"/>
  <c r="U23" i="2"/>
  <c r="P24" i="2"/>
  <c r="U24" i="2"/>
  <c r="P25" i="2"/>
  <c r="U25" i="2"/>
  <c r="P26" i="2"/>
  <c r="U26" i="2"/>
  <c r="M27" i="2"/>
  <c r="L13" i="2"/>
  <c r="F7" i="2"/>
  <c r="F9" i="2"/>
  <c r="F15" i="2"/>
  <c r="F17" i="2"/>
  <c r="F23" i="2"/>
  <c r="F25" i="2"/>
  <c r="S28" i="2"/>
  <c r="Q28" i="2"/>
  <c r="E27" i="2"/>
  <c r="F8" i="2"/>
  <c r="H8" i="2"/>
  <c r="C27" i="2"/>
  <c r="D2" i="2"/>
  <c r="D11" i="2"/>
  <c r="D3" i="2"/>
  <c r="D21" i="2"/>
  <c r="D13" i="2"/>
  <c r="D26" i="2"/>
  <c r="D22" i="2"/>
  <c r="D14" i="2"/>
  <c r="D10" i="2"/>
  <c r="D6" i="2"/>
  <c r="D18" i="2"/>
  <c r="D9" i="2"/>
  <c r="H9" i="2"/>
  <c r="I9" i="2"/>
  <c r="D25" i="2"/>
  <c r="G25" i="2"/>
  <c r="D7" i="2"/>
  <c r="G7" i="2"/>
  <c r="D23" i="2"/>
  <c r="H23" i="2"/>
  <c r="I23" i="2"/>
  <c r="G9" i="2"/>
  <c r="H7" i="2"/>
  <c r="I7" i="2"/>
  <c r="H25" i="2"/>
  <c r="G23" i="2"/>
  <c r="D16" i="2"/>
  <c r="D5" i="2"/>
  <c r="D8" i="2"/>
  <c r="G8" i="2"/>
  <c r="D20" i="2"/>
  <c r="D19" i="2"/>
  <c r="D17" i="2"/>
  <c r="H17" i="2"/>
  <c r="I17" i="2"/>
  <c r="D4" i="2"/>
  <c r="D27" i="2"/>
  <c r="D12" i="2"/>
  <c r="D24" i="2"/>
  <c r="D15" i="2"/>
  <c r="G15" i="2"/>
  <c r="I15" i="2"/>
  <c r="H15" i="2"/>
  <c r="G17" i="2"/>
  <c r="G10" i="2"/>
  <c r="H18" i="2"/>
  <c r="I8" i="2"/>
  <c r="G14" i="2"/>
  <c r="G26" i="2"/>
  <c r="H13" i="2"/>
  <c r="I13" i="2"/>
  <c r="I25" i="2"/>
  <c r="H4" i="2"/>
  <c r="G18" i="2"/>
  <c r="H14" i="2"/>
  <c r="I14" i="2"/>
  <c r="F22" i="2"/>
  <c r="H22" i="2"/>
  <c r="F14" i="2"/>
  <c r="F6" i="2"/>
  <c r="H6" i="2"/>
  <c r="F21" i="2"/>
  <c r="H21" i="2"/>
  <c r="F13" i="2"/>
  <c r="G13" i="2"/>
  <c r="F5" i="2"/>
  <c r="G4" i="2"/>
  <c r="G12" i="2"/>
  <c r="F20" i="2"/>
  <c r="H20" i="2"/>
  <c r="F12" i="2"/>
  <c r="H12" i="2"/>
  <c r="I12" i="2"/>
  <c r="F4" i="2"/>
  <c r="F19" i="2"/>
  <c r="F11" i="2"/>
  <c r="H11" i="2"/>
  <c r="F3" i="2"/>
  <c r="H3" i="2"/>
  <c r="F26" i="2"/>
  <c r="H26" i="2"/>
  <c r="F18" i="2"/>
  <c r="F10" i="2"/>
  <c r="F2" i="2"/>
  <c r="G2" i="2"/>
  <c r="H10" i="2"/>
  <c r="I10" i="2"/>
  <c r="F24" i="2"/>
  <c r="F16" i="2"/>
  <c r="H16" i="2"/>
  <c r="G24" i="2"/>
  <c r="H24" i="2"/>
  <c r="I24" i="2"/>
  <c r="I3" i="2"/>
  <c r="G5" i="2"/>
  <c r="H5" i="2"/>
  <c r="I5" i="2"/>
  <c r="G21" i="2"/>
  <c r="I21" i="2"/>
  <c r="G19" i="2"/>
  <c r="H19" i="2"/>
  <c r="I19" i="2"/>
  <c r="G16" i="2"/>
  <c r="I16" i="2"/>
  <c r="I4" i="2"/>
  <c r="G11" i="2"/>
  <c r="I11" i="2"/>
  <c r="F27" i="2"/>
  <c r="H2" i="2"/>
  <c r="G20" i="2"/>
  <c r="G6" i="2"/>
  <c r="I6" i="2"/>
  <c r="I18" i="2"/>
  <c r="I26" i="2"/>
  <c r="I20" i="2"/>
  <c r="I22" i="2"/>
  <c r="G22" i="2"/>
  <c r="G3" i="2"/>
  <c r="G27" i="2"/>
  <c r="H27" i="2"/>
  <c r="I2" i="2"/>
  <c r="I27" i="2"/>
  <c r="J15" i="2"/>
  <c r="J18" i="2"/>
  <c r="J12" i="2"/>
  <c r="J25" i="2"/>
  <c r="J3" i="2"/>
  <c r="J17" i="2"/>
  <c r="J23" i="2"/>
  <c r="J6" i="2"/>
  <c r="J14" i="2"/>
  <c r="J8" i="2"/>
  <c r="J13" i="2"/>
  <c r="J21" i="2"/>
  <c r="J22" i="2"/>
  <c r="J10" i="2"/>
  <c r="J9" i="2"/>
  <c r="J16" i="2"/>
  <c r="J2" i="2"/>
  <c r="J5" i="2"/>
  <c r="J7" i="2"/>
  <c r="J26" i="2"/>
  <c r="J11" i="2"/>
  <c r="J19" i="2"/>
  <c r="J24" i="2"/>
  <c r="J4" i="2"/>
  <c r="J20" i="2"/>
  <c r="Q6" i="2"/>
  <c r="R6" i="2"/>
  <c r="S6" i="2"/>
  <c r="T6" i="2"/>
  <c r="K6" i="2"/>
  <c r="N6" i="2"/>
  <c r="K17" i="2"/>
  <c r="Q17" i="2"/>
  <c r="R17" i="2"/>
  <c r="N17" i="2"/>
  <c r="S17" i="2"/>
  <c r="T17" i="2"/>
  <c r="S16" i="2"/>
  <c r="T16" i="2"/>
  <c r="K16" i="2"/>
  <c r="Q16" i="2"/>
  <c r="R16" i="2"/>
  <c r="N16" i="2"/>
  <c r="S23" i="2"/>
  <c r="T23" i="2"/>
  <c r="K23" i="2"/>
  <c r="N23" i="2"/>
  <c r="Q23" i="2"/>
  <c r="R23" i="2"/>
  <c r="S3" i="2"/>
  <c r="T3" i="2"/>
  <c r="K3" i="2"/>
  <c r="N3" i="2"/>
  <c r="Q3" i="2"/>
  <c r="R3" i="2"/>
  <c r="K12" i="2"/>
  <c r="Q12" i="2"/>
  <c r="R12" i="2"/>
  <c r="S12" i="2"/>
  <c r="T12" i="2"/>
  <c r="N12" i="2"/>
  <c r="S4" i="2"/>
  <c r="T4" i="2"/>
  <c r="N4" i="2"/>
  <c r="Q4" i="2"/>
  <c r="R4" i="2"/>
  <c r="K4" i="2"/>
  <c r="K9" i="2"/>
  <c r="S9" i="2"/>
  <c r="T9" i="2"/>
  <c r="Q9" i="2"/>
  <c r="R9" i="2"/>
  <c r="N9" i="2"/>
  <c r="K10" i="2"/>
  <c r="Q10" i="2"/>
  <c r="R10" i="2"/>
  <c r="N10" i="2"/>
  <c r="S10" i="2"/>
  <c r="T10" i="2"/>
  <c r="Q22" i="2"/>
  <c r="R22" i="2"/>
  <c r="K22" i="2"/>
  <c r="S22" i="2"/>
  <c r="T22" i="2"/>
  <c r="N22" i="2"/>
  <c r="N21" i="2"/>
  <c r="K21" i="2"/>
  <c r="S21" i="2"/>
  <c r="T21" i="2"/>
  <c r="Q21" i="2"/>
  <c r="R21" i="2"/>
  <c r="U21" i="2"/>
  <c r="K7" i="2"/>
  <c r="S7" i="2"/>
  <c r="T7" i="2"/>
  <c r="N7" i="2"/>
  <c r="Q7" i="2"/>
  <c r="R7" i="2"/>
  <c r="Q5" i="2"/>
  <c r="R5" i="2"/>
  <c r="N5" i="2"/>
  <c r="K5" i="2"/>
  <c r="S5" i="2"/>
  <c r="T5" i="2"/>
  <c r="Q8" i="2"/>
  <c r="R8" i="2"/>
  <c r="U8" i="2"/>
  <c r="K8" i="2"/>
  <c r="S8" i="2"/>
  <c r="T8" i="2"/>
  <c r="N8" i="2"/>
  <c r="N18" i="2"/>
  <c r="Q18" i="2"/>
  <c r="R18" i="2"/>
  <c r="K18" i="2"/>
  <c r="S18" i="2"/>
  <c r="T18" i="2"/>
  <c r="Q24" i="2"/>
  <c r="R24" i="2"/>
  <c r="N24" i="2"/>
  <c r="K24" i="2"/>
  <c r="S24" i="2"/>
  <c r="T24" i="2"/>
  <c r="S19" i="2"/>
  <c r="T19" i="2"/>
  <c r="N19" i="2"/>
  <c r="Q19" i="2"/>
  <c r="R19" i="2"/>
  <c r="K19" i="2"/>
  <c r="K11" i="2"/>
  <c r="S11" i="2"/>
  <c r="T11" i="2"/>
  <c r="Q11" i="2"/>
  <c r="R11" i="2"/>
  <c r="N11" i="2"/>
  <c r="S26" i="2"/>
  <c r="T26" i="2"/>
  <c r="K26" i="2"/>
  <c r="N26" i="2"/>
  <c r="Q26" i="2"/>
  <c r="R26" i="2"/>
  <c r="Q25" i="2"/>
  <c r="R25" i="2"/>
  <c r="N25" i="2"/>
  <c r="S25" i="2"/>
  <c r="T25" i="2"/>
  <c r="K25" i="2"/>
  <c r="S13" i="2"/>
  <c r="T13" i="2"/>
  <c r="K13" i="2"/>
  <c r="Q13" i="2"/>
  <c r="R13" i="2"/>
  <c r="N13" i="2"/>
  <c r="N20" i="2"/>
  <c r="S20" i="2"/>
  <c r="T20" i="2"/>
  <c r="Q20" i="2"/>
  <c r="R20" i="2"/>
  <c r="K20" i="2"/>
  <c r="K2" i="2"/>
  <c r="S2" i="2"/>
  <c r="Q2" i="2"/>
  <c r="N2" i="2"/>
  <c r="J27" i="2"/>
  <c r="K14" i="2"/>
  <c r="S14" i="2"/>
  <c r="T14" i="2"/>
  <c r="N14" i="2"/>
  <c r="Q14" i="2"/>
  <c r="R14" i="2"/>
  <c r="N15" i="2"/>
  <c r="Q15" i="2"/>
  <c r="R15" i="2"/>
  <c r="K15" i="2"/>
  <c r="S15" i="2"/>
  <c r="T15" i="2"/>
  <c r="N27" i="2"/>
  <c r="Q27" i="2"/>
  <c r="R2" i="2"/>
  <c r="T2" i="2"/>
  <c r="T27" i="2"/>
  <c r="S27" i="2"/>
  <c r="R27" i="2"/>
  <c r="L12" i="2"/>
  <c r="L14" i="2"/>
  <c r="L2" i="2"/>
  <c r="L18" i="2"/>
  <c r="L20" i="2"/>
  <c r="L22" i="2"/>
  <c r="L23" i="2"/>
  <c r="L8" i="2"/>
  <c r="L3" i="2"/>
  <c r="L11" i="2"/>
  <c r="L9" i="2"/>
  <c r="L19" i="2"/>
  <c r="L15" i="2"/>
  <c r="L7" i="2"/>
  <c r="L10" i="2"/>
  <c r="L24" i="2"/>
  <c r="L26" i="2"/>
  <c r="L25" i="2"/>
  <c r="L21" i="2"/>
  <c r="L4" i="2"/>
  <c r="L5" i="2"/>
  <c r="L16" i="2"/>
  <c r="L6" i="2"/>
  <c r="L17" i="2"/>
  <c r="U27" i="2"/>
  <c r="P27" i="2"/>
  <c r="L27" i="2"/>
</calcChain>
</file>

<file path=xl/sharedStrings.xml><?xml version="1.0" encoding="utf-8"?>
<sst xmlns="http://schemas.openxmlformats.org/spreadsheetml/2006/main" count="48" uniqueCount="48">
  <si>
    <t>DOR Code</t>
  </si>
  <si>
    <t>Share of EQVs</t>
  </si>
  <si>
    <t>Square Mileage</t>
  </si>
  <si>
    <t>Share of Square Mileage</t>
  </si>
  <si>
    <t>Weighted Share 25% EQVs + 75% Sq Mile</t>
  </si>
  <si>
    <t>Weighted Share 75% EQVs + 25% Sq Mile</t>
  </si>
  <si>
    <t>Minimum Weighted Share</t>
  </si>
  <si>
    <t>Share Index Total = 1.0</t>
  </si>
  <si>
    <t>Unrounded District Assessment</t>
  </si>
  <si>
    <t>Unrounded Reclamation Board Assessment</t>
  </si>
  <si>
    <t>Unrounded Prior Yr. District Surplus</t>
  </si>
  <si>
    <t>Prior Yr. District Surplus</t>
  </si>
  <si>
    <t>Unrounded Prior Yr. Reclamation Board Surplus</t>
  </si>
  <si>
    <t>Prior Yr. Reclamation Board Surplus</t>
  </si>
  <si>
    <t>Final Assessment</t>
  </si>
  <si>
    <t xml:space="preserve">AVON           </t>
  </si>
  <si>
    <t xml:space="preserve">BELLINGHAM     </t>
  </si>
  <si>
    <t xml:space="preserve">BRAINTREE      </t>
  </si>
  <si>
    <t xml:space="preserve">CANTON         </t>
  </si>
  <si>
    <t xml:space="preserve">DEDHAM         </t>
  </si>
  <si>
    <t xml:space="preserve">DOVER          </t>
  </si>
  <si>
    <t xml:space="preserve">FOXBOROUGH     </t>
  </si>
  <si>
    <t xml:space="preserve">FRANKLIN       </t>
  </si>
  <si>
    <t xml:space="preserve">HOLBROOK       </t>
  </si>
  <si>
    <t xml:space="preserve">MEDFIELD       </t>
  </si>
  <si>
    <t xml:space="preserve">MEDWAY         </t>
  </si>
  <si>
    <t xml:space="preserve">MILLIS         </t>
  </si>
  <si>
    <t>MILTON</t>
  </si>
  <si>
    <t xml:space="preserve">NEEDHAM        </t>
  </si>
  <si>
    <t xml:space="preserve">NORFOLK        </t>
  </si>
  <si>
    <t xml:space="preserve">NORWOOD        </t>
  </si>
  <si>
    <t xml:space="preserve">PLAINVILLE     </t>
  </si>
  <si>
    <t xml:space="preserve">QUINCY         </t>
  </si>
  <si>
    <t xml:space="preserve">RANDOLPH       </t>
  </si>
  <si>
    <t xml:space="preserve">SHARON         </t>
  </si>
  <si>
    <t xml:space="preserve">STOUGHTON      </t>
  </si>
  <si>
    <t xml:space="preserve">WALPOLE        </t>
  </si>
  <si>
    <t xml:space="preserve">WESTWOOD       </t>
  </si>
  <si>
    <t xml:space="preserve">WEYMOUTH       </t>
  </si>
  <si>
    <t xml:space="preserve">WRENTHAM       </t>
  </si>
  <si>
    <t>Total Town Assessment</t>
  </si>
  <si>
    <t>NCMC District Assessment</t>
  </si>
  <si>
    <t>SRMCB* Assessment</t>
  </si>
  <si>
    <t>*SRMCB - State Reclamation and Mosquito Control Board</t>
  </si>
  <si>
    <t>Municipality share of budget</t>
  </si>
  <si>
    <t>NCMCD Municipality</t>
  </si>
  <si>
    <t>2020 Equalized Valuations (EQV)</t>
  </si>
  <si>
    <t>NCMCD appropriation is calculated using a formula of the lesser of either 1/4 EQV + 3/4 land area or 3/4 EQV + 1/4 land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</si>
</sst>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7" formatCode="0.000000000"/>
    <numFmt numFmtId="168" formatCode="#,##0.000000000"/>
    <numFmt numFmtId="173" formatCode="0.0%"/>
    <numFmt numFmtId="17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0" fontId="4" fillId="0" borderId="0" xfId="0" applyFont="1"/>
    <xf numFmtId="165" fontId="1" fillId="2" borderId="0" xfId="0" applyNumberFormat="1" applyFont="1" applyFill="1" applyAlignment="1" applyProtection="1">
      <alignment horizontal="left"/>
    </xf>
    <xf numFmtId="0" fontId="0" fillId="2" borderId="0" xfId="0" applyFill="1"/>
    <xf numFmtId="3" fontId="0" fillId="2" borderId="0" xfId="0" applyNumberFormat="1" applyFill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73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4" fillId="0" borderId="1" xfId="0" applyFont="1" applyBorder="1" applyAlignment="1">
      <alignment wrapText="1"/>
    </xf>
    <xf numFmtId="175" fontId="1" fillId="2" borderId="0" xfId="0" applyNumberFormat="1" applyFont="1" applyFill="1" applyBorder="1" applyAlignment="1">
      <alignment horizontal="center"/>
    </xf>
    <xf numFmtId="175" fontId="2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 applyProtection="1">
      <alignment horizontal="center"/>
    </xf>
    <xf numFmtId="165" fontId="1" fillId="3" borderId="0" xfId="0" applyNumberFormat="1" applyFont="1" applyFill="1" applyAlignment="1" applyProtection="1">
      <alignment horizontal="left"/>
    </xf>
    <xf numFmtId="175" fontId="1" fillId="3" borderId="0" xfId="0" applyNumberFormat="1" applyFon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center"/>
    </xf>
    <xf numFmtId="165" fontId="1" fillId="3" borderId="1" xfId="0" applyNumberFormat="1" applyFont="1" applyFill="1" applyBorder="1" applyAlignment="1" applyProtection="1">
      <alignment horizontal="left"/>
    </xf>
    <xf numFmtId="175" fontId="1" fillId="3" borderId="1" xfId="0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175" fontId="5" fillId="3" borderId="0" xfId="0" applyNumberFormat="1" applyFont="1" applyFill="1" applyAlignment="1">
      <alignment horizontal="center"/>
    </xf>
    <xf numFmtId="175" fontId="5" fillId="2" borderId="0" xfId="0" applyNumberFormat="1" applyFont="1" applyFill="1" applyAlignment="1">
      <alignment horizontal="center"/>
    </xf>
    <xf numFmtId="175" fontId="5" fillId="3" borderId="1" xfId="0" applyNumberFormat="1" applyFont="1" applyFill="1" applyBorder="1" applyAlignment="1">
      <alignment horizontal="center"/>
    </xf>
    <xf numFmtId="175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73" fontId="6" fillId="2" borderId="0" xfId="0" applyNumberFormat="1" applyFont="1" applyFill="1" applyAlignment="1">
      <alignment horizontal="center"/>
    </xf>
    <xf numFmtId="0" fontId="5" fillId="2" borderId="0" xfId="0" applyFont="1" applyFill="1"/>
    <xf numFmtId="3" fontId="6" fillId="2" borderId="0" xfId="0" applyNumberFormat="1" applyFont="1" applyFill="1"/>
    <xf numFmtId="3" fontId="5" fillId="2" borderId="0" xfId="0" applyNumberFormat="1" applyFont="1" applyFill="1"/>
    <xf numFmtId="0" fontId="6" fillId="2" borderId="0" xfId="0" applyFont="1" applyFill="1"/>
    <xf numFmtId="3" fontId="7" fillId="2" borderId="0" xfId="0" applyNumberFormat="1" applyFont="1" applyFill="1"/>
    <xf numFmtId="0" fontId="5" fillId="0" borderId="0" xfId="0" applyFont="1"/>
    <xf numFmtId="17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/>
    <xf numFmtId="4" fontId="6" fillId="2" borderId="0" xfId="0" applyNumberFormat="1" applyFont="1" applyFill="1" applyAlignment="1">
      <alignment horizontal="center"/>
    </xf>
    <xf numFmtId="175" fontId="1" fillId="3" borderId="0" xfId="0" applyNumberFormat="1" applyFont="1" applyFill="1" applyAlignment="1">
      <alignment horizontal="center"/>
    </xf>
    <xf numFmtId="175" fontId="1" fillId="2" borderId="0" xfId="0" applyNumberFormat="1" applyFont="1" applyFill="1" applyAlignment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Comma [0] 2" xfId="1"/>
    <cellStyle name="Comma 2" xfId="2"/>
    <cellStyle name="Currency [0] 2" xfId="3"/>
    <cellStyle name="Currency 2" xfId="4"/>
    <cellStyle name="Normal" xfId="0" builtinId="0"/>
    <cellStyle name="Normal 2" xfId="5"/>
    <cellStyle name="Normal 5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RCAUHOME\DFA\abouchard\mydocs\Budget%20&amp;%20Spend%20Plans\DOR%20Assessments\FY12%20Assessments\Mosquito%20Final%20CS12%206_16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All Data"/>
      <sheetName val="Berkshire"/>
      <sheetName val="Bristol"/>
      <sheetName val="Cape Cod"/>
      <sheetName val="Central Mass"/>
      <sheetName val="Norfolk"/>
      <sheetName val="Northeast"/>
      <sheetName val="Plymouth"/>
      <sheetName val="Suffolk"/>
    </sheetNames>
    <sheetDataSet>
      <sheetData sheetId="0">
        <row r="10">
          <cell r="F10">
            <v>0</v>
          </cell>
        </row>
        <row r="27">
          <cell r="F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Layout" zoomScaleNormal="100" workbookViewId="0">
      <selection activeCell="P7" sqref="P7"/>
    </sheetView>
  </sheetViews>
  <sheetFormatPr defaultRowHeight="14.4" x14ac:dyDescent="0.3"/>
  <cols>
    <col min="1" max="1" width="5.88671875" customWidth="1"/>
    <col min="2" max="2" width="14.109375" customWidth="1"/>
    <col min="3" max="3" width="15.6640625" customWidth="1"/>
    <col min="4" max="4" width="11.5546875" hidden="1" customWidth="1"/>
    <col min="5" max="5" width="8" customWidth="1"/>
    <col min="6" max="6" width="11.5546875" hidden="1" customWidth="1"/>
    <col min="7" max="8" width="12" hidden="1" customWidth="1"/>
    <col min="9" max="10" width="11.5546875" hidden="1" customWidth="1"/>
    <col min="11" max="11" width="12" hidden="1" customWidth="1"/>
    <col min="12" max="12" width="14.6640625" customWidth="1"/>
    <col min="13" max="13" width="13" style="3" customWidth="1"/>
    <col min="14" max="14" width="11.44140625" hidden="1" customWidth="1"/>
    <col min="15" max="15" width="12.109375" style="54" customWidth="1"/>
    <col min="16" max="16" width="11.44140625" style="3" bestFit="1" customWidth="1"/>
    <col min="17" max="17" width="9.88671875" hidden="1" customWidth="1"/>
    <col min="18" max="18" width="7.44140625" hidden="1" customWidth="1"/>
    <col min="19" max="19" width="11.33203125" hidden="1" customWidth="1"/>
    <col min="20" max="20" width="11" hidden="1" customWidth="1"/>
    <col min="21" max="21" width="11.33203125" hidden="1" customWidth="1"/>
  </cols>
  <sheetData>
    <row r="1" spans="1:21" ht="48" customHeight="1" thickBot="1" x14ac:dyDescent="0.35">
      <c r="A1" s="13" t="s">
        <v>0</v>
      </c>
      <c r="B1" s="8" t="s">
        <v>45</v>
      </c>
      <c r="C1" s="8" t="s">
        <v>46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44</v>
      </c>
      <c r="M1" s="8" t="s">
        <v>41</v>
      </c>
      <c r="N1" s="7" t="s">
        <v>9</v>
      </c>
      <c r="O1" s="8" t="s">
        <v>42</v>
      </c>
      <c r="P1" s="8" t="s">
        <v>40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</row>
    <row r="2" spans="1:21" x14ac:dyDescent="0.3">
      <c r="A2" s="16">
        <v>18</v>
      </c>
      <c r="B2" s="17" t="s">
        <v>15</v>
      </c>
      <c r="C2" s="18">
        <v>912879000</v>
      </c>
      <c r="D2" s="19">
        <f>ROUND(C2/$C$27,9)</f>
        <v>7.2316990000000003E-3</v>
      </c>
      <c r="E2" s="20">
        <v>4.38</v>
      </c>
      <c r="F2" s="19">
        <f>ROUND(E2/$E$27,9)</f>
        <v>1.1751134E-2</v>
      </c>
      <c r="G2" s="19">
        <f>(D2*0.25)+(F2*0.75)</f>
        <v>1.0621275250000001E-2</v>
      </c>
      <c r="H2" s="19">
        <f>ROUND((D2*0.75)+(F2*0.25),9)</f>
        <v>8.3615579999999998E-3</v>
      </c>
      <c r="I2" s="19">
        <f>MIN(H2,G2)</f>
        <v>8.3615579999999998E-3</v>
      </c>
      <c r="J2" s="19">
        <f>(1/I$27)*I2</f>
        <v>9.7883678274459825E-3</v>
      </c>
      <c r="K2" s="20">
        <f>ROUND(J2*K$28,5)</f>
        <v>16343.54967</v>
      </c>
      <c r="L2" s="21">
        <f>SUM(M2/M27)</f>
        <v>1.0225064056693059E-2</v>
      </c>
      <c r="M2" s="30">
        <v>22148</v>
      </c>
      <c r="N2" s="30">
        <f t="shared" ref="N2:N26" si="0">ROUND(J2*N$28,5)</f>
        <v>604.71558000000005</v>
      </c>
      <c r="O2" s="50">
        <v>963</v>
      </c>
      <c r="P2" s="48">
        <f>M2+O2</f>
        <v>23111</v>
      </c>
      <c r="Q2">
        <f>ROUND(J2*Q$28,5)</f>
        <v>0</v>
      </c>
      <c r="R2" s="2">
        <f>ROUND(Q2,0)</f>
        <v>0</v>
      </c>
      <c r="S2">
        <f>ROUND(J2*S$28,5)</f>
        <v>0</v>
      </c>
      <c r="T2" s="2">
        <f>ROUND(S2,0)</f>
        <v>0</v>
      </c>
      <c r="U2" s="2">
        <f>P2-R2-T2</f>
        <v>23111</v>
      </c>
    </row>
    <row r="3" spans="1:21" s="5" customFormat="1" x14ac:dyDescent="0.3">
      <c r="A3" s="12">
        <v>25</v>
      </c>
      <c r="B3" s="4" t="s">
        <v>16</v>
      </c>
      <c r="C3" s="14">
        <v>2853759500</v>
      </c>
      <c r="D3" s="9">
        <f t="shared" ref="D3:D26" si="1">ROUND(C3/$C$27,9)</f>
        <v>2.2607083E-2</v>
      </c>
      <c r="E3" s="10">
        <v>18.5</v>
      </c>
      <c r="F3" s="9">
        <f t="shared" ref="F3:F26" si="2">ROUND(E3/$E$27,9)</f>
        <v>4.9633783000000001E-2</v>
      </c>
      <c r="G3" s="9">
        <f t="shared" ref="G3:G26" si="3">(D3*0.25)+(F3*0.75)</f>
        <v>4.2877108000000004E-2</v>
      </c>
      <c r="H3" s="9">
        <f t="shared" ref="H3:H26" si="4">ROUND((D3*0.75)+(F3*0.25),9)</f>
        <v>2.9363758E-2</v>
      </c>
      <c r="I3" s="9">
        <f t="shared" ref="I3:I26" si="5">MIN(H3,G3)</f>
        <v>2.9363758E-2</v>
      </c>
      <c r="J3" s="9">
        <f t="shared" ref="J3:J26" si="6">(1/I$27)*I3</f>
        <v>3.4374367085668676E-2</v>
      </c>
      <c r="K3" s="10">
        <f t="shared" ref="K3:K26" si="7">ROUND(J3*K$28,5)</f>
        <v>57394.571349999998</v>
      </c>
      <c r="L3" s="11">
        <f>SUM(M3/M27)</f>
        <v>3.5342212783638423E-2</v>
      </c>
      <c r="M3" s="31">
        <v>76553</v>
      </c>
      <c r="N3" s="31">
        <f t="shared" si="0"/>
        <v>2123.61402</v>
      </c>
      <c r="O3" s="50">
        <v>3327</v>
      </c>
      <c r="P3" s="49">
        <f t="shared" ref="P3:P26" si="8">M3+O3</f>
        <v>79880</v>
      </c>
      <c r="Q3" s="5">
        <f t="shared" ref="Q3:Q26" si="9">ROUND(J3*Q$28,5)</f>
        <v>0</v>
      </c>
      <c r="R3" s="6">
        <f t="shared" ref="R3:R26" si="10">ROUND(Q3,0)</f>
        <v>0</v>
      </c>
      <c r="S3" s="5">
        <f t="shared" ref="S3:S26" si="11">ROUND(J3*S$28,5)</f>
        <v>0</v>
      </c>
      <c r="T3" s="6">
        <f t="shared" ref="T3:T26" si="12">ROUND(S3,0)</f>
        <v>0</v>
      </c>
      <c r="U3" s="6">
        <f t="shared" ref="U3:U26" si="13">P3-R3-T3</f>
        <v>79880</v>
      </c>
    </row>
    <row r="4" spans="1:21" x14ac:dyDescent="0.3">
      <c r="A4" s="16">
        <v>40</v>
      </c>
      <c r="B4" s="17" t="s">
        <v>17</v>
      </c>
      <c r="C4" s="18">
        <v>8213296300</v>
      </c>
      <c r="D4" s="19">
        <f t="shared" si="1"/>
        <v>6.5064580999999996E-2</v>
      </c>
      <c r="E4" s="20">
        <v>13.9</v>
      </c>
      <c r="F4" s="19">
        <f t="shared" si="2"/>
        <v>3.7292409999999998E-2</v>
      </c>
      <c r="G4" s="19">
        <f t="shared" si="3"/>
        <v>4.4235452750000001E-2</v>
      </c>
      <c r="H4" s="19">
        <f t="shared" si="4"/>
        <v>5.8121538E-2</v>
      </c>
      <c r="I4" s="19">
        <f t="shared" si="5"/>
        <v>4.4235452750000001E-2</v>
      </c>
      <c r="J4" s="19">
        <f t="shared" si="6"/>
        <v>5.1783756392122966E-2</v>
      </c>
      <c r="K4" s="20">
        <f t="shared" si="7"/>
        <v>86462.87199</v>
      </c>
      <c r="L4" s="21">
        <f>SUM(M4/M27)</f>
        <v>5.1405553888414397E-2</v>
      </c>
      <c r="M4" s="30">
        <v>111347</v>
      </c>
      <c r="N4" s="30">
        <f t="shared" si="0"/>
        <v>3199.14869</v>
      </c>
      <c r="O4" s="50">
        <v>4839</v>
      </c>
      <c r="P4" s="48">
        <f t="shared" si="8"/>
        <v>116186</v>
      </c>
      <c r="Q4">
        <f t="shared" si="9"/>
        <v>0</v>
      </c>
      <c r="R4" s="2">
        <f t="shared" si="10"/>
        <v>0</v>
      </c>
      <c r="S4">
        <f t="shared" si="11"/>
        <v>0</v>
      </c>
      <c r="T4" s="2">
        <f t="shared" si="12"/>
        <v>0</v>
      </c>
      <c r="U4" s="2">
        <f t="shared" si="13"/>
        <v>116186</v>
      </c>
    </row>
    <row r="5" spans="1:21" s="5" customFormat="1" x14ac:dyDescent="0.3">
      <c r="A5" s="12">
        <v>50</v>
      </c>
      <c r="B5" s="4" t="s">
        <v>18</v>
      </c>
      <c r="C5" s="14">
        <v>5664784600</v>
      </c>
      <c r="D5" s="9">
        <f t="shared" si="1"/>
        <v>4.4875629E-2</v>
      </c>
      <c r="E5" s="10">
        <v>18.93</v>
      </c>
      <c r="F5" s="9">
        <f t="shared" si="2"/>
        <v>5.0787433E-2</v>
      </c>
      <c r="G5" s="9">
        <f t="shared" si="3"/>
        <v>4.9309482000000002E-2</v>
      </c>
      <c r="H5" s="9">
        <f t="shared" si="4"/>
        <v>4.6353579999999998E-2</v>
      </c>
      <c r="I5" s="9">
        <f t="shared" si="5"/>
        <v>4.6353579999999998E-2</v>
      </c>
      <c r="J5" s="9">
        <f t="shared" si="6"/>
        <v>5.4263319247315339E-2</v>
      </c>
      <c r="K5" s="10">
        <f t="shared" si="7"/>
        <v>90602.975779999993</v>
      </c>
      <c r="L5" s="11">
        <f>SUM(M5/M27)</f>
        <v>5.4883312942914521E-2</v>
      </c>
      <c r="M5" s="31">
        <v>118880</v>
      </c>
      <c r="N5" s="31">
        <f t="shared" si="0"/>
        <v>3352.3335999999999</v>
      </c>
      <c r="O5" s="50">
        <v>5167</v>
      </c>
      <c r="P5" s="49">
        <f t="shared" si="8"/>
        <v>124047</v>
      </c>
      <c r="Q5" s="5">
        <f t="shared" si="9"/>
        <v>0</v>
      </c>
      <c r="R5" s="6">
        <f t="shared" si="10"/>
        <v>0</v>
      </c>
      <c r="S5" s="5">
        <f t="shared" si="11"/>
        <v>0</v>
      </c>
      <c r="T5" s="6">
        <f t="shared" si="12"/>
        <v>0</v>
      </c>
      <c r="U5" s="6">
        <f t="shared" si="13"/>
        <v>124047</v>
      </c>
    </row>
    <row r="6" spans="1:21" x14ac:dyDescent="0.3">
      <c r="A6" s="16">
        <v>73</v>
      </c>
      <c r="B6" s="17" t="s">
        <v>19</v>
      </c>
      <c r="C6" s="18">
        <v>5863555800</v>
      </c>
      <c r="D6" s="19">
        <f t="shared" si="1"/>
        <v>4.6450267000000003E-2</v>
      </c>
      <c r="E6" s="20">
        <v>10.45</v>
      </c>
      <c r="F6" s="19">
        <f t="shared" si="2"/>
        <v>2.803638E-2</v>
      </c>
      <c r="G6" s="19">
        <f t="shared" si="3"/>
        <v>3.2639851750000004E-2</v>
      </c>
      <c r="H6" s="19">
        <f t="shared" si="4"/>
        <v>4.1846794999999999E-2</v>
      </c>
      <c r="I6" s="19">
        <f t="shared" si="5"/>
        <v>3.2639851750000004E-2</v>
      </c>
      <c r="J6" s="19">
        <f t="shared" si="6"/>
        <v>3.8209490953995236E-2</v>
      </c>
      <c r="K6" s="20">
        <f t="shared" si="7"/>
        <v>63798.043160000001</v>
      </c>
      <c r="L6" s="21">
        <f>SUM(M6/M27)</f>
        <v>3.8404468964243668E-2</v>
      </c>
      <c r="M6" s="30">
        <v>83186</v>
      </c>
      <c r="N6" s="30">
        <f t="shared" si="0"/>
        <v>2360.54414</v>
      </c>
      <c r="O6" s="50">
        <v>3615</v>
      </c>
      <c r="P6" s="48">
        <f t="shared" si="8"/>
        <v>86801</v>
      </c>
      <c r="Q6">
        <f t="shared" si="9"/>
        <v>0</v>
      </c>
      <c r="R6" s="2">
        <f t="shared" si="10"/>
        <v>0</v>
      </c>
      <c r="S6">
        <f t="shared" si="11"/>
        <v>0</v>
      </c>
      <c r="T6" s="2">
        <f t="shared" si="12"/>
        <v>0</v>
      </c>
      <c r="U6" s="2">
        <f t="shared" si="13"/>
        <v>86801</v>
      </c>
    </row>
    <row r="7" spans="1:21" s="5" customFormat="1" x14ac:dyDescent="0.3">
      <c r="A7" s="12">
        <v>78</v>
      </c>
      <c r="B7" s="4" t="s">
        <v>20</v>
      </c>
      <c r="C7" s="14">
        <v>2831290600</v>
      </c>
      <c r="D7" s="9">
        <f t="shared" si="1"/>
        <v>2.2429087E-2</v>
      </c>
      <c r="E7" s="10">
        <v>15.33</v>
      </c>
      <c r="F7" s="9">
        <f t="shared" si="2"/>
        <v>4.1128967000000002E-2</v>
      </c>
      <c r="G7" s="9">
        <f t="shared" si="3"/>
        <v>3.6453997000000002E-2</v>
      </c>
      <c r="H7" s="9">
        <f t="shared" si="4"/>
        <v>2.7104057000000001E-2</v>
      </c>
      <c r="I7" s="9">
        <f t="shared" si="5"/>
        <v>2.7104057000000001E-2</v>
      </c>
      <c r="J7" s="9">
        <f t="shared" si="6"/>
        <v>3.1729072444640349E-2</v>
      </c>
      <c r="K7" s="10">
        <f t="shared" si="7"/>
        <v>52977.746700000003</v>
      </c>
      <c r="L7" s="11">
        <f>SUM(M7/M27)</f>
        <v>2.9952217169502089E-2</v>
      </c>
      <c r="M7" s="31">
        <v>64878</v>
      </c>
      <c r="N7" s="31">
        <f t="shared" si="0"/>
        <v>1960.19037</v>
      </c>
      <c r="O7" s="50">
        <v>2820</v>
      </c>
      <c r="P7" s="49">
        <f t="shared" si="8"/>
        <v>67698</v>
      </c>
      <c r="Q7" s="5">
        <f t="shared" si="9"/>
        <v>0</v>
      </c>
      <c r="R7" s="6">
        <f t="shared" si="10"/>
        <v>0</v>
      </c>
      <c r="S7" s="5">
        <f t="shared" si="11"/>
        <v>0</v>
      </c>
      <c r="T7" s="6">
        <f t="shared" si="12"/>
        <v>0</v>
      </c>
      <c r="U7" s="6">
        <f t="shared" si="13"/>
        <v>67698</v>
      </c>
    </row>
    <row r="8" spans="1:21" x14ac:dyDescent="0.3">
      <c r="A8" s="16">
        <v>99</v>
      </c>
      <c r="B8" s="17" t="s">
        <v>21</v>
      </c>
      <c r="C8" s="18">
        <v>3632254300</v>
      </c>
      <c r="D8" s="19">
        <f t="shared" si="1"/>
        <v>2.8774208999999999E-2</v>
      </c>
      <c r="E8" s="20">
        <v>20.079999999999998</v>
      </c>
      <c r="F8" s="19">
        <f t="shared" si="2"/>
        <v>5.3872776999999997E-2</v>
      </c>
      <c r="G8" s="19">
        <f t="shared" si="3"/>
        <v>4.7598135E-2</v>
      </c>
      <c r="H8" s="19">
        <f t="shared" si="4"/>
        <v>3.5048850999999999E-2</v>
      </c>
      <c r="I8" s="19">
        <f t="shared" si="5"/>
        <v>3.5048850999999999E-2</v>
      </c>
      <c r="J8" s="19">
        <f t="shared" si="6"/>
        <v>4.1029559983599702E-2</v>
      </c>
      <c r="K8" s="20">
        <f t="shared" si="7"/>
        <v>68506.687040000004</v>
      </c>
      <c r="L8" s="21">
        <f>SUM(M8/M27)</f>
        <v>3.9771473419357814E-2</v>
      </c>
      <c r="M8" s="30">
        <v>86147</v>
      </c>
      <c r="N8" s="30">
        <f t="shared" si="0"/>
        <v>2534.7651900000001</v>
      </c>
      <c r="O8" s="50">
        <v>3744</v>
      </c>
      <c r="P8" s="48">
        <f t="shared" si="8"/>
        <v>89891</v>
      </c>
      <c r="Q8">
        <f t="shared" si="9"/>
        <v>0</v>
      </c>
      <c r="R8" s="2">
        <f t="shared" si="10"/>
        <v>0</v>
      </c>
      <c r="S8">
        <f t="shared" si="11"/>
        <v>0</v>
      </c>
      <c r="T8" s="2">
        <f t="shared" si="12"/>
        <v>0</v>
      </c>
      <c r="U8" s="2">
        <f t="shared" si="13"/>
        <v>89891</v>
      </c>
    </row>
    <row r="9" spans="1:21" s="5" customFormat="1" x14ac:dyDescent="0.3">
      <c r="A9" s="12">
        <v>101</v>
      </c>
      <c r="B9" s="4" t="s">
        <v>22</v>
      </c>
      <c r="C9" s="14">
        <v>6057291000</v>
      </c>
      <c r="D9" s="9">
        <f t="shared" si="1"/>
        <v>4.7985010000000002E-2</v>
      </c>
      <c r="E9" s="10">
        <v>26.74</v>
      </c>
      <c r="F9" s="9">
        <f t="shared" si="2"/>
        <v>7.1740938000000004E-2</v>
      </c>
      <c r="G9" s="9">
        <f t="shared" si="3"/>
        <v>6.5801956000000009E-2</v>
      </c>
      <c r="H9" s="9">
        <f t="shared" si="4"/>
        <v>5.3923991999999997E-2</v>
      </c>
      <c r="I9" s="9">
        <f t="shared" si="5"/>
        <v>5.3923991999999997E-2</v>
      </c>
      <c r="J9" s="9">
        <f t="shared" si="6"/>
        <v>6.3125540529678142E-2</v>
      </c>
      <c r="K9" s="10">
        <f t="shared" si="7"/>
        <v>105400.14689</v>
      </c>
      <c r="L9" s="11">
        <f>SUM(M9/M27)</f>
        <v>6.329078276124743E-2</v>
      </c>
      <c r="M9" s="31">
        <v>137091</v>
      </c>
      <c r="N9" s="31">
        <f t="shared" si="0"/>
        <v>3899.83277</v>
      </c>
      <c r="O9" s="50">
        <v>5958</v>
      </c>
      <c r="P9" s="49">
        <f t="shared" si="8"/>
        <v>143049</v>
      </c>
      <c r="Q9" s="5">
        <f t="shared" si="9"/>
        <v>0</v>
      </c>
      <c r="R9" s="6">
        <f t="shared" si="10"/>
        <v>0</v>
      </c>
      <c r="S9" s="5">
        <f t="shared" si="11"/>
        <v>0</v>
      </c>
      <c r="T9" s="6">
        <f t="shared" si="12"/>
        <v>0</v>
      </c>
      <c r="U9" s="6">
        <f t="shared" si="13"/>
        <v>143049</v>
      </c>
    </row>
    <row r="10" spans="1:21" x14ac:dyDescent="0.3">
      <c r="A10" s="16">
        <v>133</v>
      </c>
      <c r="B10" s="17" t="s">
        <v>23</v>
      </c>
      <c r="C10" s="18">
        <v>1455967400</v>
      </c>
      <c r="D10" s="19">
        <f t="shared" si="1"/>
        <v>1.1533969999999999E-2</v>
      </c>
      <c r="E10" s="20">
        <v>7.35</v>
      </c>
      <c r="F10" s="19">
        <f t="shared" si="2"/>
        <v>1.9719368000000001E-2</v>
      </c>
      <c r="G10" s="19">
        <f t="shared" si="3"/>
        <v>1.7673018500000002E-2</v>
      </c>
      <c r="H10" s="19">
        <f t="shared" si="4"/>
        <v>1.358032E-2</v>
      </c>
      <c r="I10" s="19">
        <f t="shared" si="5"/>
        <v>1.358032E-2</v>
      </c>
      <c r="J10" s="19">
        <f t="shared" si="6"/>
        <v>1.5897655362125243E-2</v>
      </c>
      <c r="K10" s="20">
        <f t="shared" si="7"/>
        <v>26544.17208</v>
      </c>
      <c r="L10" s="21">
        <f>SUM(M10/M27)</f>
        <v>1.6253087417187968E-2</v>
      </c>
      <c r="M10" s="30">
        <v>35205</v>
      </c>
      <c r="N10" s="30">
        <f t="shared" si="0"/>
        <v>982.14125000000001</v>
      </c>
      <c r="O10" s="50">
        <v>1530</v>
      </c>
      <c r="P10" s="48">
        <f t="shared" si="8"/>
        <v>36735</v>
      </c>
      <c r="Q10">
        <f t="shared" si="9"/>
        <v>0</v>
      </c>
      <c r="R10" s="2">
        <f t="shared" si="10"/>
        <v>0</v>
      </c>
      <c r="S10">
        <f t="shared" si="11"/>
        <v>0</v>
      </c>
      <c r="T10" s="2">
        <f t="shared" si="12"/>
        <v>0</v>
      </c>
      <c r="U10" s="2">
        <f t="shared" si="13"/>
        <v>36735</v>
      </c>
    </row>
    <row r="11" spans="1:21" s="5" customFormat="1" x14ac:dyDescent="0.3">
      <c r="A11" s="12">
        <v>175</v>
      </c>
      <c r="B11" s="4" t="s">
        <v>24</v>
      </c>
      <c r="C11" s="14">
        <v>2985655000</v>
      </c>
      <c r="D11" s="9">
        <f t="shared" si="1"/>
        <v>2.365194E-2</v>
      </c>
      <c r="E11" s="10">
        <v>14.51</v>
      </c>
      <c r="F11" s="9">
        <f t="shared" si="2"/>
        <v>3.8928983E-2</v>
      </c>
      <c r="G11" s="9">
        <f t="shared" si="3"/>
        <v>3.5109722250000003E-2</v>
      </c>
      <c r="H11" s="9">
        <f t="shared" si="4"/>
        <v>2.7471201000000001E-2</v>
      </c>
      <c r="I11" s="9">
        <f t="shared" si="5"/>
        <v>2.7471201000000001E-2</v>
      </c>
      <c r="J11" s="9">
        <f t="shared" si="6"/>
        <v>3.2158865614482605E-2</v>
      </c>
      <c r="K11" s="10">
        <f t="shared" si="7"/>
        <v>53695.368490000001</v>
      </c>
      <c r="L11" s="11">
        <f>SUM(M11/M27)</f>
        <v>3.1752267953186676E-2</v>
      </c>
      <c r="M11" s="31">
        <v>68777</v>
      </c>
      <c r="N11" s="31">
        <f t="shared" si="0"/>
        <v>1986.7425599999999</v>
      </c>
      <c r="O11" s="50">
        <v>2989</v>
      </c>
      <c r="P11" s="49">
        <f t="shared" si="8"/>
        <v>71766</v>
      </c>
      <c r="Q11" s="5">
        <f t="shared" si="9"/>
        <v>0</v>
      </c>
      <c r="R11" s="6">
        <f t="shared" si="10"/>
        <v>0</v>
      </c>
      <c r="S11" s="5">
        <f t="shared" si="11"/>
        <v>0</v>
      </c>
      <c r="T11" s="6">
        <f t="shared" si="12"/>
        <v>0</v>
      </c>
      <c r="U11" s="6">
        <f t="shared" si="13"/>
        <v>71766</v>
      </c>
    </row>
    <row r="12" spans="1:21" x14ac:dyDescent="0.3">
      <c r="A12" s="16">
        <v>177</v>
      </c>
      <c r="B12" s="17" t="s">
        <v>25</v>
      </c>
      <c r="C12" s="18">
        <v>2494179400</v>
      </c>
      <c r="D12" s="19">
        <f t="shared" si="1"/>
        <v>1.9758538999999999E-2</v>
      </c>
      <c r="E12" s="20">
        <v>11.45</v>
      </c>
      <c r="F12" s="19">
        <f t="shared" si="2"/>
        <v>3.0719287000000001E-2</v>
      </c>
      <c r="G12" s="19">
        <f t="shared" si="3"/>
        <v>2.79791E-2</v>
      </c>
      <c r="H12" s="19">
        <f t="shared" si="4"/>
        <v>2.2498726E-2</v>
      </c>
      <c r="I12" s="19">
        <f t="shared" si="5"/>
        <v>2.2498726E-2</v>
      </c>
      <c r="J12" s="19">
        <f t="shared" si="6"/>
        <v>2.6337891304099362E-2</v>
      </c>
      <c r="K12" s="20">
        <f t="shared" si="7"/>
        <v>43976.140070000001</v>
      </c>
      <c r="L12" s="21">
        <f>SUM(M12/M27)</f>
        <v>2.6557097019921056E-2</v>
      </c>
      <c r="M12" s="30">
        <v>57524</v>
      </c>
      <c r="N12" s="30">
        <f t="shared" si="0"/>
        <v>1627.12859</v>
      </c>
      <c r="O12" s="50">
        <v>2500</v>
      </c>
      <c r="P12" s="48">
        <f t="shared" si="8"/>
        <v>60024</v>
      </c>
      <c r="Q12">
        <f t="shared" si="9"/>
        <v>0</v>
      </c>
      <c r="R12" s="2">
        <f t="shared" si="10"/>
        <v>0</v>
      </c>
      <c r="S12">
        <f t="shared" si="11"/>
        <v>0</v>
      </c>
      <c r="T12" s="2">
        <f t="shared" si="12"/>
        <v>0</v>
      </c>
      <c r="U12" s="2">
        <f t="shared" si="13"/>
        <v>60024</v>
      </c>
    </row>
    <row r="13" spans="1:21" s="5" customFormat="1" x14ac:dyDescent="0.3">
      <c r="A13" s="12">
        <v>187</v>
      </c>
      <c r="B13" s="4" t="s">
        <v>26</v>
      </c>
      <c r="C13" s="14">
        <v>1417727000</v>
      </c>
      <c r="D13" s="9">
        <f t="shared" si="1"/>
        <v>1.1231034000000001E-2</v>
      </c>
      <c r="E13" s="10">
        <v>12.16</v>
      </c>
      <c r="F13" s="9">
        <f t="shared" si="2"/>
        <v>3.2624151999999997E-2</v>
      </c>
      <c r="G13" s="9">
        <f t="shared" si="3"/>
        <v>2.7275872499999999E-2</v>
      </c>
      <c r="H13" s="9">
        <f t="shared" si="4"/>
        <v>1.6579314000000001E-2</v>
      </c>
      <c r="I13" s="9">
        <f t="shared" si="5"/>
        <v>1.6579314000000001E-2</v>
      </c>
      <c r="J13" s="9">
        <f t="shared" si="6"/>
        <v>1.9408395392189443E-2</v>
      </c>
      <c r="K13" s="10">
        <f t="shared" si="7"/>
        <v>32406.023109999998</v>
      </c>
      <c r="L13" s="11">
        <f>SUM(M13/M27)</f>
        <v>2.0031393550472058E-2</v>
      </c>
      <c r="M13" s="31">
        <v>43389</v>
      </c>
      <c r="N13" s="31">
        <f t="shared" si="0"/>
        <v>1199.03126</v>
      </c>
      <c r="O13" s="50">
        <v>1886</v>
      </c>
      <c r="P13" s="49">
        <f t="shared" si="8"/>
        <v>45275</v>
      </c>
      <c r="Q13" s="5">
        <f t="shared" si="9"/>
        <v>0</v>
      </c>
      <c r="R13" s="6">
        <f t="shared" si="10"/>
        <v>0</v>
      </c>
      <c r="S13" s="5">
        <f t="shared" si="11"/>
        <v>0</v>
      </c>
      <c r="T13" s="6">
        <f t="shared" si="12"/>
        <v>0</v>
      </c>
      <c r="U13" s="6">
        <f t="shared" si="13"/>
        <v>45275</v>
      </c>
    </row>
    <row r="14" spans="1:21" x14ac:dyDescent="0.3">
      <c r="A14" s="22">
        <v>189</v>
      </c>
      <c r="B14" s="23" t="s">
        <v>27</v>
      </c>
      <c r="C14" s="18">
        <v>6817342900</v>
      </c>
      <c r="D14" s="19">
        <f t="shared" si="1"/>
        <v>5.4006034000000001E-2</v>
      </c>
      <c r="E14" s="20">
        <v>13.04</v>
      </c>
      <c r="F14" s="19">
        <f t="shared" si="2"/>
        <v>3.498511E-2</v>
      </c>
      <c r="G14" s="19">
        <f t="shared" si="3"/>
        <v>3.9740340999999998E-2</v>
      </c>
      <c r="H14" s="19">
        <f t="shared" si="4"/>
        <v>4.9250803000000003E-2</v>
      </c>
      <c r="I14" s="19">
        <f>MIN(H14,G14)</f>
        <v>3.9740340999999998E-2</v>
      </c>
      <c r="J14" s="19">
        <f t="shared" si="6"/>
        <v>4.6521602229648171E-2</v>
      </c>
      <c r="K14" s="20">
        <f t="shared" si="7"/>
        <v>77676.700549999994</v>
      </c>
      <c r="L14" s="21">
        <f>SUM(M14/M27)</f>
        <v>4.6616190761986101E-2</v>
      </c>
      <c r="M14" s="30">
        <v>100973</v>
      </c>
      <c r="N14" s="30">
        <f t="shared" si="0"/>
        <v>2874.0580599999998</v>
      </c>
      <c r="O14" s="50">
        <v>4388</v>
      </c>
      <c r="P14" s="48">
        <f t="shared" si="8"/>
        <v>105361</v>
      </c>
      <c r="Q14">
        <f>ROUND(J14*Q$28,5)</f>
        <v>0</v>
      </c>
      <c r="R14" s="2">
        <f t="shared" si="10"/>
        <v>0</v>
      </c>
      <c r="S14">
        <f>ROUND(J14*S$28,5)</f>
        <v>0</v>
      </c>
      <c r="T14" s="2">
        <f t="shared" si="12"/>
        <v>0</v>
      </c>
      <c r="U14" s="2">
        <f t="shared" si="13"/>
        <v>105361</v>
      </c>
    </row>
    <row r="15" spans="1:21" s="5" customFormat="1" x14ac:dyDescent="0.3">
      <c r="A15" s="12">
        <v>199</v>
      </c>
      <c r="B15" s="4" t="s">
        <v>28</v>
      </c>
      <c r="C15" s="14">
        <v>11580160100</v>
      </c>
      <c r="D15" s="9">
        <f t="shared" si="1"/>
        <v>9.1736403999999994E-2</v>
      </c>
      <c r="E15" s="10">
        <v>12.61</v>
      </c>
      <c r="F15" s="9">
        <f t="shared" si="2"/>
        <v>3.3831460000000001E-2</v>
      </c>
      <c r="G15" s="9">
        <f t="shared" si="3"/>
        <v>4.8307695999999997E-2</v>
      </c>
      <c r="H15" s="9">
        <f t="shared" si="4"/>
        <v>7.7260168000000004E-2</v>
      </c>
      <c r="I15" s="9">
        <f t="shared" si="5"/>
        <v>4.8307695999999997E-2</v>
      </c>
      <c r="J15" s="9">
        <f t="shared" si="6"/>
        <v>5.6550884098925225E-2</v>
      </c>
      <c r="K15" s="10">
        <f t="shared" si="7"/>
        <v>94422.502219999995</v>
      </c>
      <c r="L15" s="11">
        <f>SUM(M15/M27)</f>
        <v>5.5445626832252258E-2</v>
      </c>
      <c r="M15" s="31">
        <v>120098</v>
      </c>
      <c r="N15" s="31">
        <f t="shared" si="0"/>
        <v>3493.6570700000002</v>
      </c>
      <c r="O15" s="50">
        <v>5219</v>
      </c>
      <c r="P15" s="49">
        <f t="shared" si="8"/>
        <v>125317</v>
      </c>
      <c r="Q15" s="5">
        <f t="shared" si="9"/>
        <v>0</v>
      </c>
      <c r="R15" s="6">
        <f t="shared" si="10"/>
        <v>0</v>
      </c>
      <c r="S15" s="5">
        <f t="shared" si="11"/>
        <v>0</v>
      </c>
      <c r="T15" s="6">
        <f t="shared" si="12"/>
        <v>0</v>
      </c>
      <c r="U15" s="6">
        <f t="shared" si="13"/>
        <v>125317</v>
      </c>
    </row>
    <row r="16" spans="1:21" x14ac:dyDescent="0.3">
      <c r="A16" s="16">
        <v>208</v>
      </c>
      <c r="B16" s="17" t="s">
        <v>29</v>
      </c>
      <c r="C16" s="18">
        <v>1981383700</v>
      </c>
      <c r="D16" s="19">
        <f t="shared" si="1"/>
        <v>1.5696244000000002E-2</v>
      </c>
      <c r="E16" s="20">
        <v>14.84</v>
      </c>
      <c r="F16" s="19">
        <f t="shared" si="2"/>
        <v>3.9814343000000002E-2</v>
      </c>
      <c r="G16" s="19">
        <f t="shared" si="3"/>
        <v>3.3784818250000001E-2</v>
      </c>
      <c r="H16" s="19">
        <f t="shared" si="4"/>
        <v>2.1725768999999999E-2</v>
      </c>
      <c r="I16" s="19">
        <f t="shared" si="5"/>
        <v>2.1725768999999999E-2</v>
      </c>
      <c r="J16" s="19">
        <f t="shared" si="6"/>
        <v>2.5433037515989639E-2</v>
      </c>
      <c r="K16" s="20">
        <f t="shared" si="7"/>
        <v>42465.313840000003</v>
      </c>
      <c r="L16" s="21">
        <f>SUM(M16/M27)</f>
        <v>2.5362295422543341E-2</v>
      </c>
      <c r="M16" s="30">
        <v>54936</v>
      </c>
      <c r="N16" s="30">
        <f t="shared" si="0"/>
        <v>1571.2276199999999</v>
      </c>
      <c r="O16" s="50">
        <v>2388</v>
      </c>
      <c r="P16" s="48">
        <f t="shared" si="8"/>
        <v>57324</v>
      </c>
      <c r="Q16">
        <f t="shared" si="9"/>
        <v>0</v>
      </c>
      <c r="R16" s="2">
        <f t="shared" si="10"/>
        <v>0</v>
      </c>
      <c r="S16">
        <f t="shared" si="11"/>
        <v>0</v>
      </c>
      <c r="T16" s="2">
        <f t="shared" si="12"/>
        <v>0</v>
      </c>
      <c r="U16" s="2">
        <f t="shared" si="13"/>
        <v>57324</v>
      </c>
    </row>
    <row r="17" spans="1:21" s="5" customFormat="1" x14ac:dyDescent="0.3">
      <c r="A17" s="12">
        <v>220</v>
      </c>
      <c r="B17" s="4" t="s">
        <v>30</v>
      </c>
      <c r="C17" s="14">
        <v>6194416300</v>
      </c>
      <c r="D17" s="9">
        <f t="shared" si="1"/>
        <v>4.9071297E-2</v>
      </c>
      <c r="E17" s="10">
        <v>10.48</v>
      </c>
      <c r="F17" s="9">
        <f t="shared" si="2"/>
        <v>2.8116867E-2</v>
      </c>
      <c r="G17" s="9">
        <f t="shared" si="3"/>
        <v>3.3355474499999996E-2</v>
      </c>
      <c r="H17" s="9">
        <f t="shared" si="4"/>
        <v>4.3832690000000001E-2</v>
      </c>
      <c r="I17" s="9">
        <f t="shared" si="5"/>
        <v>3.3355474499999996E-2</v>
      </c>
      <c r="J17" s="9">
        <f t="shared" si="6"/>
        <v>3.9047227019772493E-2</v>
      </c>
      <c r="K17" s="10">
        <f t="shared" si="7"/>
        <v>65196.803529999997</v>
      </c>
      <c r="L17" s="11">
        <f>SUM(M17/M27)</f>
        <v>3.9454767895477943E-2</v>
      </c>
      <c r="M17" s="31">
        <v>85461</v>
      </c>
      <c r="N17" s="31">
        <f t="shared" si="0"/>
        <v>2412.29864</v>
      </c>
      <c r="O17" s="50">
        <v>3714</v>
      </c>
      <c r="P17" s="49">
        <f t="shared" si="8"/>
        <v>89175</v>
      </c>
      <c r="Q17" s="5">
        <f t="shared" si="9"/>
        <v>0</v>
      </c>
      <c r="R17" s="6">
        <f t="shared" si="10"/>
        <v>0</v>
      </c>
      <c r="S17" s="5">
        <f t="shared" si="11"/>
        <v>0</v>
      </c>
      <c r="T17" s="6">
        <f t="shared" si="12"/>
        <v>0</v>
      </c>
      <c r="U17" s="6">
        <f t="shared" si="13"/>
        <v>89175</v>
      </c>
    </row>
    <row r="18" spans="1:21" x14ac:dyDescent="0.3">
      <c r="A18" s="16">
        <v>238</v>
      </c>
      <c r="B18" s="17" t="s">
        <v>31</v>
      </c>
      <c r="C18" s="18">
        <v>1692502300</v>
      </c>
      <c r="D18" s="19">
        <f t="shared" si="1"/>
        <v>1.3407766E-2</v>
      </c>
      <c r="E18" s="20">
        <v>11.06</v>
      </c>
      <c r="F18" s="19">
        <f t="shared" si="2"/>
        <v>2.9672954000000001E-2</v>
      </c>
      <c r="G18" s="19">
        <f t="shared" si="3"/>
        <v>2.5606657000000001E-2</v>
      </c>
      <c r="H18" s="19">
        <f t="shared" si="4"/>
        <v>1.7474063000000001E-2</v>
      </c>
      <c r="I18" s="19">
        <f t="shared" si="5"/>
        <v>1.7474063000000001E-2</v>
      </c>
      <c r="J18" s="19">
        <f t="shared" si="6"/>
        <v>2.0455823673526424E-2</v>
      </c>
      <c r="K18" s="20">
        <f t="shared" si="7"/>
        <v>34154.904690000003</v>
      </c>
      <c r="L18" s="21">
        <f>SUM(M18/M27)</f>
        <v>2.03901110316013E-2</v>
      </c>
      <c r="M18" s="30">
        <v>44166</v>
      </c>
      <c r="N18" s="30">
        <f t="shared" si="0"/>
        <v>1263.7403300000001</v>
      </c>
      <c r="O18" s="50">
        <v>1919</v>
      </c>
      <c r="P18" s="48">
        <f t="shared" si="8"/>
        <v>46085</v>
      </c>
      <c r="Q18">
        <f t="shared" si="9"/>
        <v>0</v>
      </c>
      <c r="R18" s="2">
        <f t="shared" si="10"/>
        <v>0</v>
      </c>
      <c r="S18">
        <f t="shared" si="11"/>
        <v>0</v>
      </c>
      <c r="T18" s="2">
        <f t="shared" si="12"/>
        <v>0</v>
      </c>
      <c r="U18" s="2">
        <f t="shared" si="13"/>
        <v>46085</v>
      </c>
    </row>
    <row r="19" spans="1:21" s="5" customFormat="1" x14ac:dyDescent="0.3">
      <c r="A19" s="12">
        <v>243</v>
      </c>
      <c r="B19" s="4" t="s">
        <v>32</v>
      </c>
      <c r="C19" s="14">
        <v>18377975900</v>
      </c>
      <c r="D19" s="9">
        <f t="shared" si="1"/>
        <v>0.14558774799999999</v>
      </c>
      <c r="E19" s="10">
        <v>16.78</v>
      </c>
      <c r="F19" s="9">
        <f t="shared" si="2"/>
        <v>4.5019182999999997E-2</v>
      </c>
      <c r="G19" s="9">
        <f t="shared" si="3"/>
        <v>7.016132424999999E-2</v>
      </c>
      <c r="H19" s="9">
        <f t="shared" si="4"/>
        <v>0.120445607</v>
      </c>
      <c r="I19" s="9">
        <f t="shared" si="5"/>
        <v>7.016132424999999E-2</v>
      </c>
      <c r="J19" s="9">
        <f t="shared" si="6"/>
        <v>8.213359866901665E-2</v>
      </c>
      <c r="K19" s="10">
        <f t="shared" si="7"/>
        <v>137137.73050000001</v>
      </c>
      <c r="L19" s="11">
        <f>SUM(M19/M27)</f>
        <v>8.246023868331756E-2</v>
      </c>
      <c r="M19" s="31">
        <v>178613</v>
      </c>
      <c r="N19" s="31">
        <f t="shared" si="0"/>
        <v>5074.13159</v>
      </c>
      <c r="O19" s="50">
        <v>7762</v>
      </c>
      <c r="P19" s="49">
        <f t="shared" si="8"/>
        <v>186375</v>
      </c>
      <c r="Q19" s="5">
        <f t="shared" si="9"/>
        <v>0</v>
      </c>
      <c r="R19" s="6">
        <f t="shared" si="10"/>
        <v>0</v>
      </c>
      <c r="S19" s="5">
        <f t="shared" si="11"/>
        <v>0</v>
      </c>
      <c r="T19" s="6">
        <f t="shared" si="12"/>
        <v>0</v>
      </c>
      <c r="U19" s="6">
        <f t="shared" si="13"/>
        <v>186375</v>
      </c>
    </row>
    <row r="20" spans="1:21" x14ac:dyDescent="0.3">
      <c r="A20" s="16">
        <v>244</v>
      </c>
      <c r="B20" s="17" t="s">
        <v>33</v>
      </c>
      <c r="C20" s="18">
        <v>4234173100</v>
      </c>
      <c r="D20" s="19">
        <f t="shared" si="1"/>
        <v>3.3542524999999997E-2</v>
      </c>
      <c r="E20" s="20">
        <v>10.07</v>
      </c>
      <c r="F20" s="19">
        <f t="shared" si="2"/>
        <v>2.7016874999999999E-2</v>
      </c>
      <c r="G20" s="19">
        <f t="shared" si="3"/>
        <v>2.8648287500000001E-2</v>
      </c>
      <c r="H20" s="19">
        <f t="shared" si="4"/>
        <v>3.1911112999999998E-2</v>
      </c>
      <c r="I20" s="19">
        <f t="shared" si="5"/>
        <v>2.8648287500000001E-2</v>
      </c>
      <c r="J20" s="19">
        <f t="shared" si="6"/>
        <v>3.353680924971434E-2</v>
      </c>
      <c r="K20" s="20">
        <f t="shared" si="7"/>
        <v>55996.108569999997</v>
      </c>
      <c r="L20" s="21">
        <f>SUM(M20/M27)</f>
        <v>3.3901341150942961E-2</v>
      </c>
      <c r="M20" s="30">
        <v>73432</v>
      </c>
      <c r="N20" s="30">
        <f t="shared" si="0"/>
        <v>2071.8705399999999</v>
      </c>
      <c r="O20" s="50">
        <v>3191</v>
      </c>
      <c r="P20" s="48">
        <f t="shared" si="8"/>
        <v>76623</v>
      </c>
      <c r="Q20">
        <f t="shared" si="9"/>
        <v>0</v>
      </c>
      <c r="R20" s="2">
        <f t="shared" si="10"/>
        <v>0</v>
      </c>
      <c r="S20">
        <f t="shared" si="11"/>
        <v>0</v>
      </c>
      <c r="T20" s="2">
        <f t="shared" si="12"/>
        <v>0</v>
      </c>
      <c r="U20" s="2">
        <f t="shared" si="13"/>
        <v>76623</v>
      </c>
    </row>
    <row r="21" spans="1:21" s="5" customFormat="1" x14ac:dyDescent="0.3">
      <c r="A21" s="12">
        <v>266</v>
      </c>
      <c r="B21" s="4" t="s">
        <v>34</v>
      </c>
      <c r="C21" s="14">
        <v>3961784600</v>
      </c>
      <c r="D21" s="9">
        <f t="shared" si="1"/>
        <v>3.1384702E-2</v>
      </c>
      <c r="E21" s="10">
        <v>23.31</v>
      </c>
      <c r="F21" s="9">
        <f t="shared" si="2"/>
        <v>6.2538567000000003E-2</v>
      </c>
      <c r="G21" s="9">
        <f t="shared" si="3"/>
        <v>5.4750100750000003E-2</v>
      </c>
      <c r="H21" s="9">
        <f t="shared" si="4"/>
        <v>3.9173168000000001E-2</v>
      </c>
      <c r="I21" s="9">
        <f t="shared" si="5"/>
        <v>3.9173168000000001E-2</v>
      </c>
      <c r="J21" s="9">
        <f t="shared" si="6"/>
        <v>4.5857647265059517E-2</v>
      </c>
      <c r="K21" s="10">
        <f t="shared" si="7"/>
        <v>76568.100919999997</v>
      </c>
      <c r="L21" s="11">
        <f>SUM(M21/M27)</f>
        <v>4.5237644560374879E-2</v>
      </c>
      <c r="M21" s="31">
        <v>97987</v>
      </c>
      <c r="N21" s="31">
        <f t="shared" si="0"/>
        <v>2833.0395899999999</v>
      </c>
      <c r="O21" s="50">
        <v>4259</v>
      </c>
      <c r="P21" s="49">
        <f t="shared" si="8"/>
        <v>102246</v>
      </c>
      <c r="Q21" s="5">
        <f t="shared" si="9"/>
        <v>0</v>
      </c>
      <c r="R21" s="6">
        <f t="shared" si="10"/>
        <v>0</v>
      </c>
      <c r="S21" s="5">
        <f t="shared" si="11"/>
        <v>0</v>
      </c>
      <c r="T21" s="6">
        <f t="shared" si="12"/>
        <v>0</v>
      </c>
      <c r="U21" s="6">
        <f t="shared" si="13"/>
        <v>102246</v>
      </c>
    </row>
    <row r="22" spans="1:21" x14ac:dyDescent="0.3">
      <c r="A22" s="16">
        <v>285</v>
      </c>
      <c r="B22" s="17" t="s">
        <v>35</v>
      </c>
      <c r="C22" s="18">
        <v>4681174300</v>
      </c>
      <c r="D22" s="19">
        <f t="shared" si="1"/>
        <v>3.7083605999999998E-2</v>
      </c>
      <c r="E22" s="20">
        <v>16.04</v>
      </c>
      <c r="F22" s="19">
        <f t="shared" si="2"/>
        <v>4.3033831000000002E-2</v>
      </c>
      <c r="G22" s="19">
        <f t="shared" si="3"/>
        <v>4.1546274750000001E-2</v>
      </c>
      <c r="H22" s="19">
        <f t="shared" si="4"/>
        <v>3.8571161999999999E-2</v>
      </c>
      <c r="I22" s="19">
        <f t="shared" si="5"/>
        <v>3.8571161999999999E-2</v>
      </c>
      <c r="J22" s="19">
        <f t="shared" si="6"/>
        <v>4.5152915424135916E-2</v>
      </c>
      <c r="K22" s="20">
        <f t="shared" si="7"/>
        <v>75391.416509999995</v>
      </c>
      <c r="L22" s="21">
        <f>SUM(M22/M27)</f>
        <v>4.5151312296576721E-2</v>
      </c>
      <c r="M22" s="30">
        <v>97800</v>
      </c>
      <c r="N22" s="30">
        <f t="shared" si="0"/>
        <v>2789.5019600000001</v>
      </c>
      <c r="O22" s="50">
        <v>4250</v>
      </c>
      <c r="P22" s="48">
        <f t="shared" si="8"/>
        <v>102050</v>
      </c>
      <c r="Q22">
        <f t="shared" si="9"/>
        <v>0</v>
      </c>
      <c r="R22" s="2">
        <f t="shared" si="10"/>
        <v>0</v>
      </c>
      <c r="S22">
        <f t="shared" si="11"/>
        <v>0</v>
      </c>
      <c r="T22" s="2">
        <f t="shared" si="12"/>
        <v>0</v>
      </c>
      <c r="U22" s="2">
        <f t="shared" si="13"/>
        <v>102050</v>
      </c>
    </row>
    <row r="23" spans="1:21" s="5" customFormat="1" x14ac:dyDescent="0.3">
      <c r="A23" s="12">
        <v>307</v>
      </c>
      <c r="B23" s="4" t="s">
        <v>36</v>
      </c>
      <c r="C23" s="14">
        <v>5276015500</v>
      </c>
      <c r="D23" s="9">
        <f t="shared" si="1"/>
        <v>4.1795855E-2</v>
      </c>
      <c r="E23" s="10">
        <v>20.54</v>
      </c>
      <c r="F23" s="9">
        <f t="shared" si="2"/>
        <v>5.5106914E-2</v>
      </c>
      <c r="G23" s="9">
        <f t="shared" si="3"/>
        <v>5.1779149249999996E-2</v>
      </c>
      <c r="H23" s="9">
        <f t="shared" si="4"/>
        <v>4.5123620000000003E-2</v>
      </c>
      <c r="I23" s="9">
        <f t="shared" si="5"/>
        <v>4.5123620000000003E-2</v>
      </c>
      <c r="J23" s="9">
        <f t="shared" si="6"/>
        <v>5.282347981870103E-2</v>
      </c>
      <c r="K23" s="10">
        <f t="shared" si="7"/>
        <v>88198.88884</v>
      </c>
      <c r="L23" s="11">
        <f>SUM(M23/M27)</f>
        <v>5.3485376607188197E-2</v>
      </c>
      <c r="M23" s="31">
        <v>115852</v>
      </c>
      <c r="N23" s="31">
        <f t="shared" si="0"/>
        <v>3263.3817600000002</v>
      </c>
      <c r="O23" s="50">
        <v>5035</v>
      </c>
      <c r="P23" s="49">
        <f t="shared" si="8"/>
        <v>120887</v>
      </c>
      <c r="Q23" s="5">
        <f t="shared" si="9"/>
        <v>0</v>
      </c>
      <c r="R23" s="6">
        <f t="shared" si="10"/>
        <v>0</v>
      </c>
      <c r="S23" s="5">
        <f t="shared" si="11"/>
        <v>0</v>
      </c>
      <c r="T23" s="6">
        <f t="shared" si="12"/>
        <v>0</v>
      </c>
      <c r="U23" s="6">
        <f t="shared" si="13"/>
        <v>120887</v>
      </c>
    </row>
    <row r="24" spans="1:21" x14ac:dyDescent="0.3">
      <c r="A24" s="16">
        <v>335</v>
      </c>
      <c r="B24" s="17" t="s">
        <v>37</v>
      </c>
      <c r="C24" s="18">
        <v>5214138300</v>
      </c>
      <c r="D24" s="19">
        <f t="shared" si="1"/>
        <v>4.1305672000000002E-2</v>
      </c>
      <c r="E24" s="20">
        <v>10.97</v>
      </c>
      <c r="F24" s="19">
        <f t="shared" si="2"/>
        <v>2.9431492E-2</v>
      </c>
      <c r="G24" s="19">
        <f t="shared" si="3"/>
        <v>3.2400037E-2</v>
      </c>
      <c r="H24" s="19">
        <f t="shared" si="4"/>
        <v>3.8337126999999999E-2</v>
      </c>
      <c r="I24" s="19">
        <f t="shared" si="5"/>
        <v>3.2400037E-2</v>
      </c>
      <c r="J24" s="19">
        <f t="shared" si="6"/>
        <v>3.7928754399462333E-2</v>
      </c>
      <c r="K24" s="20">
        <f t="shared" si="7"/>
        <v>63329.299859999999</v>
      </c>
      <c r="L24" s="21">
        <f>SUM(M24/M27)</f>
        <v>3.7296922970383881E-2</v>
      </c>
      <c r="M24" s="30">
        <v>80787</v>
      </c>
      <c r="N24" s="30">
        <f t="shared" si="0"/>
        <v>2343.2005199999999</v>
      </c>
      <c r="O24" s="50">
        <v>3511</v>
      </c>
      <c r="P24" s="48">
        <f t="shared" si="8"/>
        <v>84298</v>
      </c>
      <c r="Q24">
        <f t="shared" si="9"/>
        <v>0</v>
      </c>
      <c r="R24" s="2">
        <f t="shared" si="10"/>
        <v>0</v>
      </c>
      <c r="S24">
        <f t="shared" si="11"/>
        <v>0</v>
      </c>
      <c r="T24" s="2">
        <f t="shared" si="12"/>
        <v>0</v>
      </c>
      <c r="U24" s="2">
        <f t="shared" si="13"/>
        <v>84298</v>
      </c>
    </row>
    <row r="25" spans="1:21" s="5" customFormat="1" x14ac:dyDescent="0.3">
      <c r="A25" s="12">
        <v>336</v>
      </c>
      <c r="B25" s="4" t="s">
        <v>38</v>
      </c>
      <c r="C25" s="14">
        <v>9358057000</v>
      </c>
      <c r="D25" s="9">
        <f t="shared" si="1"/>
        <v>7.4133215000000002E-2</v>
      </c>
      <c r="E25" s="10">
        <v>17.010000000000002</v>
      </c>
      <c r="F25" s="9">
        <f t="shared" si="2"/>
        <v>4.5636251000000003E-2</v>
      </c>
      <c r="G25" s="9">
        <f t="shared" si="3"/>
        <v>5.2760491999999999E-2</v>
      </c>
      <c r="H25" s="9">
        <f t="shared" si="4"/>
        <v>6.7008973999999999E-2</v>
      </c>
      <c r="I25" s="9">
        <f t="shared" si="5"/>
        <v>5.2760491999999999E-2</v>
      </c>
      <c r="J25" s="9">
        <f t="shared" si="6"/>
        <v>6.1763501784358986E-2</v>
      </c>
      <c r="K25" s="10">
        <f t="shared" si="7"/>
        <v>103125.96305999999</v>
      </c>
      <c r="L25" s="11">
        <f>SUM(M25/M27)</f>
        <v>6.2237713810853856E-2</v>
      </c>
      <c r="M25" s="31">
        <v>134810</v>
      </c>
      <c r="N25" s="31">
        <f t="shared" si="0"/>
        <v>3815.6873799999998</v>
      </c>
      <c r="O25" s="50">
        <v>5859</v>
      </c>
      <c r="P25" s="49">
        <f t="shared" si="8"/>
        <v>140669</v>
      </c>
      <c r="Q25" s="5">
        <f t="shared" si="9"/>
        <v>0</v>
      </c>
      <c r="R25" s="6">
        <f t="shared" si="10"/>
        <v>0</v>
      </c>
      <c r="S25" s="5">
        <f t="shared" si="11"/>
        <v>0</v>
      </c>
      <c r="T25" s="6">
        <f t="shared" si="12"/>
        <v>0</v>
      </c>
      <c r="U25" s="6">
        <f t="shared" si="13"/>
        <v>140669</v>
      </c>
    </row>
    <row r="26" spans="1:21" ht="15" thickBot="1" x14ac:dyDescent="0.35">
      <c r="A26" s="24">
        <v>350</v>
      </c>
      <c r="B26" s="25" t="s">
        <v>39</v>
      </c>
      <c r="C26" s="26">
        <v>2481220700</v>
      </c>
      <c r="D26" s="27">
        <f t="shared" si="1"/>
        <v>1.9655882E-2</v>
      </c>
      <c r="E26" s="28">
        <v>22.2</v>
      </c>
      <c r="F26" s="27">
        <f t="shared" si="2"/>
        <v>5.9560540000000002E-2</v>
      </c>
      <c r="G26" s="27">
        <f t="shared" si="3"/>
        <v>4.95843755E-2</v>
      </c>
      <c r="H26" s="27">
        <f t="shared" si="4"/>
        <v>2.9632047000000002E-2</v>
      </c>
      <c r="I26" s="27">
        <f t="shared" si="5"/>
        <v>2.9632047000000002E-2</v>
      </c>
      <c r="J26" s="27">
        <f t="shared" si="6"/>
        <v>3.4688436714326122E-2</v>
      </c>
      <c r="K26" s="28">
        <f t="shared" si="7"/>
        <v>57918.970589999997</v>
      </c>
      <c r="L26" s="29">
        <f>SUM(M26/M27)</f>
        <v>3.5091526049721843E-2</v>
      </c>
      <c r="M26" s="32">
        <v>76010</v>
      </c>
      <c r="N26" s="32">
        <f t="shared" si="0"/>
        <v>2143.0169299999998</v>
      </c>
      <c r="O26" s="51">
        <v>3303</v>
      </c>
      <c r="P26" s="26">
        <f t="shared" si="8"/>
        <v>79313</v>
      </c>
      <c r="Q26">
        <f t="shared" si="9"/>
        <v>0</v>
      </c>
      <c r="R26" s="2">
        <f t="shared" si="10"/>
        <v>0</v>
      </c>
      <c r="S26">
        <f t="shared" si="11"/>
        <v>0</v>
      </c>
      <c r="T26" s="2">
        <f t="shared" si="12"/>
        <v>0</v>
      </c>
      <c r="U26" s="2">
        <f t="shared" si="13"/>
        <v>79313</v>
      </c>
    </row>
    <row r="27" spans="1:21" s="5" customFormat="1" x14ac:dyDescent="0.3">
      <c r="C27" s="33">
        <f t="shared" ref="C27:U27" si="14">SUM(C2:C26)</f>
        <v>126232984600</v>
      </c>
      <c r="D27" s="34">
        <f t="shared" si="14"/>
        <v>0.99999999800000017</v>
      </c>
      <c r="E27" s="47">
        <f t="shared" si="14"/>
        <v>372.73</v>
      </c>
      <c r="F27" s="34">
        <f t="shared" si="14"/>
        <v>0.99999999900000014</v>
      </c>
      <c r="G27" s="34">
        <f t="shared" si="14"/>
        <v>0.99999999875000012</v>
      </c>
      <c r="H27" s="34">
        <f t="shared" si="14"/>
        <v>1.0000000010000001</v>
      </c>
      <c r="I27" s="35">
        <f t="shared" si="14"/>
        <v>0.85423414275000009</v>
      </c>
      <c r="J27" s="34">
        <f t="shared" si="14"/>
        <v>0.99999999999999978</v>
      </c>
      <c r="K27" s="34"/>
      <c r="L27" s="36">
        <f>SUM(L2:L26)</f>
        <v>1</v>
      </c>
      <c r="M27" s="33">
        <f>SUM(M2:M26)</f>
        <v>2166050</v>
      </c>
      <c r="N27" s="15">
        <f>SUM(N2:N26)</f>
        <v>61779.000010000003</v>
      </c>
      <c r="O27" s="33">
        <f>SUM(O2:O26)</f>
        <v>94136</v>
      </c>
      <c r="P27" s="33">
        <f>SUM(P2:P26)</f>
        <v>2260186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2260186</v>
      </c>
    </row>
    <row r="28" spans="1:21" s="5" customFormat="1" ht="5.25" customHeight="1" x14ac:dyDescent="0.3">
      <c r="C28" s="37"/>
      <c r="D28" s="37"/>
      <c r="E28" s="37"/>
      <c r="F28" s="37"/>
      <c r="G28" s="37"/>
      <c r="H28" s="37"/>
      <c r="I28" s="37"/>
      <c r="J28" s="37"/>
      <c r="K28" s="38">
        <v>1669691</v>
      </c>
      <c r="L28" s="39"/>
      <c r="M28" s="40"/>
      <c r="N28" s="41">
        <v>61779</v>
      </c>
      <c r="O28" s="52"/>
      <c r="P28" s="38"/>
      <c r="Q28" s="6">
        <f>[1]Table!F10</f>
        <v>0</v>
      </c>
      <c r="S28" s="6">
        <f>[1]Table!F27</f>
        <v>0</v>
      </c>
    </row>
    <row r="29" spans="1:21" x14ac:dyDescent="0.3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v>0.95799999999999996</v>
      </c>
      <c r="N29" s="44"/>
      <c r="O29" s="43">
        <v>4.2000000000000003E-2</v>
      </c>
      <c r="P29" s="45">
        <v>1</v>
      </c>
    </row>
    <row r="30" spans="1:21" x14ac:dyDescent="0.3">
      <c r="B30" t="s">
        <v>47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2"/>
      <c r="O30" s="53"/>
      <c r="P30" s="46"/>
    </row>
    <row r="31" spans="1:21" x14ac:dyDescent="0.3">
      <c r="B31" t="s">
        <v>43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2"/>
      <c r="O31" s="53"/>
      <c r="P31" s="46"/>
    </row>
  </sheetData>
  <pageMargins left="0.7" right="0.7" top="0.8125" bottom="0.75" header="0.3" footer="0.3"/>
  <pageSetup orientation="landscape" r:id="rId1"/>
  <headerFooter>
    <oddHeader xml:space="preserve">&amp;C&amp;"Georgia,Regular"&amp;16Norfolk County Mosquito Control District&amp;"-,Regular"&amp;11
FY 2024 Actual Cherry Sheet Assessments based on FY 2024 Proposed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2015 CS estimates</vt:lpstr>
      <vt:lpstr>Sheet3</vt:lpstr>
    </vt:vector>
  </TitlesOfParts>
  <Company>MDAR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abouchard</dc:creator>
  <cp:lastModifiedBy>Nate Boonisar</cp:lastModifiedBy>
  <cp:lastPrinted>2018-03-27T18:36:02Z</cp:lastPrinted>
  <dcterms:created xsi:type="dcterms:W3CDTF">2012-02-07T20:24:39Z</dcterms:created>
  <dcterms:modified xsi:type="dcterms:W3CDTF">2023-01-25T19:36:00Z</dcterms:modified>
</cp:coreProperties>
</file>