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95" windowWidth="14505" windowHeight="7350" activeTab="0"/>
  </bookViews>
  <sheets>
    <sheet name="FY 2015 CS estimates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<sst xmlns="http://schemas.openxmlformats.org/spreadsheetml/2006/main" count="48" uniqueCount="48">
  <si>
    <t>DOR Code</t>
  </si>
  <si>
    <t>Share of EQVs</t>
  </si>
  <si>
    <t>Square Mileage</t>
  </si>
  <si>
    <t>Share of Square Mileage</t>
  </si>
  <si>
    <t>Weighted Share 25% EQVs + 75% Sq Mile</t>
  </si>
  <si>
    <t>Weighted Share 75% EQVs + 25% Sq Mile</t>
  </si>
  <si>
    <t>Minimum Weighted Share</t>
  </si>
  <si>
    <t>Share Index Total = 1.0</t>
  </si>
  <si>
    <t>Unrounded District Assessment</t>
  </si>
  <si>
    <t>Unrounded Reclamation Board Assessment</t>
  </si>
  <si>
    <t>Unrounded Prior Yr. District Surplus</t>
  </si>
  <si>
    <t>Prior Yr. District Surplus</t>
  </si>
  <si>
    <t>Unrounded Prior Yr. Reclamation Board Surplus</t>
  </si>
  <si>
    <t>Prior Yr. Reclamation Board Surplus</t>
  </si>
  <si>
    <t>Final Assessment</t>
  </si>
  <si>
    <t xml:space="preserve">AVON           </t>
  </si>
  <si>
    <t xml:space="preserve">BELLINGHAM     </t>
  </si>
  <si>
    <t xml:space="preserve">BRAINTREE      </t>
  </si>
  <si>
    <t xml:space="preserve">CANTON         </t>
  </si>
  <si>
    <t xml:space="preserve">DEDHAM         </t>
  </si>
  <si>
    <t xml:space="preserve">DOVER          </t>
  </si>
  <si>
    <t xml:space="preserve">FOXBOROUGH     </t>
  </si>
  <si>
    <t xml:space="preserve">FRANKLIN       </t>
  </si>
  <si>
    <t xml:space="preserve">HOLBROOK       </t>
  </si>
  <si>
    <t xml:space="preserve">MEDFIELD       </t>
  </si>
  <si>
    <t xml:space="preserve">MEDWAY         </t>
  </si>
  <si>
    <t xml:space="preserve">MILLIS         </t>
  </si>
  <si>
    <t>MILTON</t>
  </si>
  <si>
    <t xml:space="preserve">NEEDHAM        </t>
  </si>
  <si>
    <t xml:space="preserve">NORFOLK        </t>
  </si>
  <si>
    <t xml:space="preserve">NORWOOD        </t>
  </si>
  <si>
    <t xml:space="preserve">PLAINVILLE     </t>
  </si>
  <si>
    <t xml:space="preserve">QUINCY         </t>
  </si>
  <si>
    <t xml:space="preserve">RANDOLPH       </t>
  </si>
  <si>
    <t xml:space="preserve">SHARON         </t>
  </si>
  <si>
    <t xml:space="preserve">STOUGHTON      </t>
  </si>
  <si>
    <t xml:space="preserve">WALPOLE        </t>
  </si>
  <si>
    <t xml:space="preserve">WESTWOOD       </t>
  </si>
  <si>
    <t xml:space="preserve">WEYMOUTH       </t>
  </si>
  <si>
    <t xml:space="preserve">WRENTHAM       </t>
  </si>
  <si>
    <t>Total Town Assessment</t>
  </si>
  <si>
    <t>NCMC District Assessment</t>
  </si>
  <si>
    <t>SRMCB* Assessment</t>
  </si>
  <si>
    <t>*SRMCB - State Reclamation and Mosquito Control Board</t>
  </si>
  <si>
    <t>Municipality share of budget</t>
  </si>
  <si>
    <t>NCMCD Municipality</t>
  </si>
  <si>
    <t>NCMCD appropriation is figured using a formula of the lesser of either 1/4 EQV + 3/4 land area or 3/4 EQV + 1/4 land area.</t>
  </si>
  <si>
    <t>2018 Equalized Valuations (EQV)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</si>
</sst>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General_)"/>
    <numFmt numFmtId="166" formatCode="_(* #,##0_);_(* \(#,##0\);_(* &quot;-&quot;??_);_(@_)"/>
    <numFmt numFmtId="167" formatCode="0.000000000"/>
    <numFmt numFmtId="168" formatCode="#,##0.000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0.00_)"/>
    <numFmt numFmtId="175" formatCode="&quot;$&quot;#,##0"/>
    <numFmt numFmtId="176" formatCode="0.0000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65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165" fontId="2" fillId="33" borderId="0" xfId="0" applyNumberFormat="1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167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173" fontId="0" fillId="33" borderId="0" xfId="0" applyNumberFormat="1" applyFill="1" applyAlignment="1">
      <alignment horizontal="center"/>
    </xf>
    <xf numFmtId="164" fontId="2" fillId="33" borderId="0" xfId="0" applyNumberFormat="1" applyFont="1" applyFill="1" applyAlignment="1" applyProtection="1">
      <alignment horizontal="center"/>
      <protection/>
    </xf>
    <xf numFmtId="0" fontId="42" fillId="0" borderId="10" xfId="0" applyFont="1" applyBorder="1" applyAlignment="1">
      <alignment wrapText="1"/>
    </xf>
    <xf numFmtId="175" fontId="2" fillId="33" borderId="0" xfId="0" applyNumberFormat="1" applyFont="1" applyFill="1" applyBorder="1" applyAlignment="1">
      <alignment horizontal="center"/>
    </xf>
    <xf numFmtId="175" fontId="3" fillId="33" borderId="0" xfId="0" applyNumberFormat="1" applyFont="1" applyFill="1" applyAlignment="1">
      <alignment horizontal="center"/>
    </xf>
    <xf numFmtId="164" fontId="2" fillId="34" borderId="0" xfId="0" applyNumberFormat="1" applyFont="1" applyFill="1" applyAlignment="1" applyProtection="1">
      <alignment horizontal="center"/>
      <protection/>
    </xf>
    <xf numFmtId="165" fontId="2" fillId="34" borderId="0" xfId="0" applyNumberFormat="1" applyFont="1" applyFill="1" applyAlignment="1" applyProtection="1">
      <alignment horizontal="left"/>
      <protection/>
    </xf>
    <xf numFmtId="175" fontId="2" fillId="34" borderId="0" xfId="0" applyNumberFormat="1" applyFont="1" applyFill="1" applyBorder="1" applyAlignment="1">
      <alignment horizontal="center"/>
    </xf>
    <xf numFmtId="167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73" fontId="0" fillId="34" borderId="0" xfId="0" applyNumberFormat="1" applyFill="1" applyAlignment="1">
      <alignment horizontal="center"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/>
    </xf>
    <xf numFmtId="164" fontId="2" fillId="34" borderId="10" xfId="0" applyNumberFormat="1" applyFont="1" applyFill="1" applyBorder="1" applyAlignment="1" applyProtection="1">
      <alignment horizontal="center"/>
      <protection/>
    </xf>
    <xf numFmtId="165" fontId="2" fillId="34" borderId="10" xfId="0" applyNumberFormat="1" applyFont="1" applyFill="1" applyBorder="1" applyAlignment="1" applyProtection="1">
      <alignment horizontal="left"/>
      <protection/>
    </xf>
    <xf numFmtId="175" fontId="2" fillId="34" borderId="10" xfId="0" applyNumberFormat="1" applyFont="1" applyFill="1" applyBorder="1" applyAlignment="1">
      <alignment horizontal="center"/>
    </xf>
    <xf numFmtId="167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73" fontId="0" fillId="34" borderId="10" xfId="0" applyNumberFormat="1" applyFill="1" applyBorder="1" applyAlignment="1">
      <alignment horizontal="center"/>
    </xf>
    <xf numFmtId="175" fontId="44" fillId="34" borderId="0" xfId="0" applyNumberFormat="1" applyFont="1" applyFill="1" applyAlignment="1">
      <alignment horizontal="center"/>
    </xf>
    <xf numFmtId="175" fontId="44" fillId="33" borderId="0" xfId="0" applyNumberFormat="1" applyFont="1" applyFill="1" applyAlignment="1">
      <alignment horizontal="center"/>
    </xf>
    <xf numFmtId="175" fontId="44" fillId="34" borderId="10" xfId="0" applyNumberFormat="1" applyFont="1" applyFill="1" applyBorder="1" applyAlignment="1">
      <alignment horizontal="center"/>
    </xf>
    <xf numFmtId="175" fontId="45" fillId="33" borderId="0" xfId="0" applyNumberFormat="1" applyFont="1" applyFill="1" applyAlignment="1">
      <alignment horizontal="center"/>
    </xf>
    <xf numFmtId="3" fontId="45" fillId="33" borderId="0" xfId="0" applyNumberFormat="1" applyFont="1" applyFill="1" applyAlignment="1">
      <alignment horizontal="center"/>
    </xf>
    <xf numFmtId="168" fontId="45" fillId="33" borderId="0" xfId="0" applyNumberFormat="1" applyFont="1" applyFill="1" applyAlignment="1">
      <alignment horizontal="center"/>
    </xf>
    <xf numFmtId="173" fontId="45" fillId="33" borderId="0" xfId="0" applyNumberFormat="1" applyFont="1" applyFill="1" applyAlignment="1">
      <alignment horizontal="center"/>
    </xf>
    <xf numFmtId="0" fontId="44" fillId="33" borderId="0" xfId="0" applyFont="1" applyFill="1" applyAlignment="1">
      <alignment/>
    </xf>
    <xf numFmtId="3" fontId="45" fillId="33" borderId="0" xfId="0" applyNumberFormat="1" applyFont="1" applyFill="1" applyAlignment="1">
      <alignment/>
    </xf>
    <xf numFmtId="3" fontId="44" fillId="33" borderId="0" xfId="0" applyNumberFormat="1" applyFont="1" applyFill="1" applyAlignment="1">
      <alignment/>
    </xf>
    <xf numFmtId="0" fontId="45" fillId="33" borderId="0" xfId="0" applyFont="1" applyFill="1" applyAlignment="1">
      <alignment/>
    </xf>
    <xf numFmtId="3" fontId="46" fillId="33" borderId="0" xfId="0" applyNumberFormat="1" applyFont="1" applyFill="1" applyAlignment="1">
      <alignment/>
    </xf>
    <xf numFmtId="0" fontId="44" fillId="0" borderId="0" xfId="0" applyFont="1" applyAlignment="1">
      <alignment/>
    </xf>
    <xf numFmtId="173" fontId="45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9" fontId="45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4" fontId="45" fillId="33" borderId="0" xfId="0" applyNumberFormat="1" applyFont="1" applyFill="1" applyAlignment="1">
      <alignment horizontal="center"/>
    </xf>
    <xf numFmtId="175" fontId="2" fillId="34" borderId="0" xfId="0" applyNumberFormat="1" applyFont="1" applyFill="1" applyAlignment="1">
      <alignment horizontal="center"/>
    </xf>
    <xf numFmtId="175" fontId="2" fillId="33" borderId="0" xfId="0" applyNumberFormat="1" applyFont="1" applyFill="1" applyAlignment="1">
      <alignment horizontal="center"/>
    </xf>
    <xf numFmtId="1" fontId="0" fillId="0" borderId="0" xfId="0" applyNumberFormat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RCAUHOME\DFA\abouchard\mydocs\Budget%20&amp;%20Spend%20Plans\DOR%20Assessments\FY12%20Assessments\Mosquito%20Final%20CS12%206_16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All Data"/>
      <sheetName val="Berkshire"/>
      <sheetName val="Bristol"/>
      <sheetName val="Cape Cod"/>
      <sheetName val="Central Mass"/>
      <sheetName val="Norfolk"/>
      <sheetName val="Northeast"/>
      <sheetName val="Plymouth"/>
      <sheetName val="Suffolk"/>
    </sheetNames>
    <sheetDataSet>
      <sheetData sheetId="0">
        <row r="10">
          <cell r="F10">
            <v>0</v>
          </cell>
        </row>
        <row r="27">
          <cell r="F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view="pageLayout" workbookViewId="0" topLeftCell="A1">
      <selection activeCell="L5" sqref="L5"/>
    </sheetView>
  </sheetViews>
  <sheetFormatPr defaultColWidth="9.140625" defaultRowHeight="15"/>
  <cols>
    <col min="1" max="1" width="5.8515625" style="0" customWidth="1"/>
    <col min="2" max="2" width="14.140625" style="0" customWidth="1"/>
    <col min="3" max="3" width="15.7109375" style="0" customWidth="1"/>
    <col min="4" max="4" width="11.57421875" style="0" hidden="1" customWidth="1"/>
    <col min="5" max="5" width="8.00390625" style="0" customWidth="1"/>
    <col min="6" max="6" width="11.57421875" style="0" hidden="1" customWidth="1"/>
    <col min="7" max="8" width="12.00390625" style="0" hidden="1" customWidth="1"/>
    <col min="9" max="10" width="11.57421875" style="0" hidden="1" customWidth="1"/>
    <col min="11" max="11" width="12.00390625" style="0" hidden="1" customWidth="1"/>
    <col min="12" max="12" width="14.7109375" style="0" customWidth="1"/>
    <col min="13" max="13" width="13.00390625" style="3" customWidth="1"/>
    <col min="14" max="14" width="11.421875" style="0" hidden="1" customWidth="1"/>
    <col min="15" max="15" width="12.140625" style="3" customWidth="1"/>
    <col min="16" max="16" width="11.421875" style="3" bestFit="1" customWidth="1"/>
    <col min="17" max="17" width="9.8515625" style="0" hidden="1" customWidth="1"/>
    <col min="18" max="18" width="7.421875" style="0" hidden="1" customWidth="1"/>
    <col min="19" max="19" width="11.28125" style="0" hidden="1" customWidth="1"/>
    <col min="20" max="20" width="11.00390625" style="0" hidden="1" customWidth="1"/>
    <col min="21" max="21" width="11.28125" style="0" hidden="1" customWidth="1"/>
  </cols>
  <sheetData>
    <row r="1" spans="1:21" ht="48" customHeight="1" thickBot="1">
      <c r="A1" s="13" t="s">
        <v>0</v>
      </c>
      <c r="B1" s="8" t="s">
        <v>45</v>
      </c>
      <c r="C1" s="8" t="s">
        <v>47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44</v>
      </c>
      <c r="M1" s="8" t="s">
        <v>41</v>
      </c>
      <c r="N1" s="7" t="s">
        <v>9</v>
      </c>
      <c r="O1" s="8" t="s">
        <v>42</v>
      </c>
      <c r="P1" s="8" t="s">
        <v>40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</row>
    <row r="2" spans="1:21" ht="15">
      <c r="A2" s="16">
        <v>18</v>
      </c>
      <c r="B2" s="17" t="s">
        <v>15</v>
      </c>
      <c r="C2" s="18">
        <v>855860900</v>
      </c>
      <c r="D2" s="19">
        <f>ROUND(C2/$C$27,9)</f>
        <v>0.007639829</v>
      </c>
      <c r="E2" s="20">
        <v>4.38</v>
      </c>
      <c r="F2" s="19">
        <f>ROUND(E2/$E$27,9)</f>
        <v>0.011751134</v>
      </c>
      <c r="G2" s="19">
        <f>(D2*0.25)+(F2*0.75)</f>
        <v>0.010723307750000001</v>
      </c>
      <c r="H2" s="19">
        <f>ROUND((D2*0.75)+(F2*0.25),9)</f>
        <v>0.008667655</v>
      </c>
      <c r="I2" s="19">
        <f>MIN(H2,G2)</f>
        <v>0.008667655</v>
      </c>
      <c r="J2" s="19">
        <f>(1/I$27)*I2</f>
        <v>0.010122365299039196</v>
      </c>
      <c r="K2" s="20">
        <f>ROUND(J2*K$28,5)</f>
        <v>16901.22224</v>
      </c>
      <c r="L2" s="21">
        <f>SUM(M2/M27)</f>
        <v>0.010122365437092417</v>
      </c>
      <c r="M2" s="30">
        <v>20261.189840385552</v>
      </c>
      <c r="N2" s="30">
        <f aca="true" t="shared" si="0" ref="N2:N26">ROUND(J2*N$28,5)</f>
        <v>625.34961</v>
      </c>
      <c r="O2" s="50">
        <v>867</v>
      </c>
      <c r="P2" s="48">
        <f>M2+O2</f>
        <v>21128.189840385552</v>
      </c>
      <c r="Q2">
        <f>ROUND(J2*Q$28,5)</f>
        <v>0</v>
      </c>
      <c r="R2" s="2">
        <f>ROUND(Q2,0)</f>
        <v>0</v>
      </c>
      <c r="S2">
        <f>ROUND(J2*S$28,5)</f>
        <v>0</v>
      </c>
      <c r="T2" s="2">
        <f>ROUND(S2,0)</f>
        <v>0</v>
      </c>
      <c r="U2" s="2">
        <f>P2-R2-T2</f>
        <v>21128.189840385552</v>
      </c>
    </row>
    <row r="3" spans="1:21" s="5" customFormat="1" ht="15">
      <c r="A3" s="12">
        <v>25</v>
      </c>
      <c r="B3" s="4" t="s">
        <v>16</v>
      </c>
      <c r="C3" s="14">
        <v>2504502600</v>
      </c>
      <c r="D3" s="9">
        <f aca="true" t="shared" si="1" ref="D3:D26">ROUND(C3/$C$27,9)</f>
        <v>0.022356403</v>
      </c>
      <c r="E3" s="10">
        <v>18.5</v>
      </c>
      <c r="F3" s="9">
        <f aca="true" t="shared" si="2" ref="F3:F26">ROUND(E3/$E$27,9)</f>
        <v>0.049633783</v>
      </c>
      <c r="G3" s="9">
        <f aca="true" t="shared" si="3" ref="G3:G26">(D3*0.25)+(F3*0.75)</f>
        <v>0.042814438</v>
      </c>
      <c r="H3" s="9">
        <f aca="true" t="shared" si="4" ref="H3:H26">ROUND((D3*0.75)+(F3*0.25),9)</f>
        <v>0.029175748</v>
      </c>
      <c r="I3" s="9">
        <f aca="true" t="shared" si="5" ref="I3:I26">MIN(H3,G3)</f>
        <v>0.029175748</v>
      </c>
      <c r="J3" s="9">
        <f aca="true" t="shared" si="6" ref="J3:J26">(1/I$27)*I3</f>
        <v>0.03407237356917323</v>
      </c>
      <c r="K3" s="10">
        <f aca="true" t="shared" si="7" ref="K3:K26">ROUND(J3*K$28,5)</f>
        <v>56890.3355</v>
      </c>
      <c r="L3" s="11">
        <f>SUM(M3/M27)</f>
        <v>0.034072373985115555</v>
      </c>
      <c r="M3" s="31">
        <v>68200.14965033092</v>
      </c>
      <c r="N3" s="31">
        <f t="shared" si="0"/>
        <v>2104.95717</v>
      </c>
      <c r="O3" s="50">
        <v>2917</v>
      </c>
      <c r="P3" s="49">
        <f aca="true" t="shared" si="8" ref="P3:P26">M3+O3</f>
        <v>71117.14965033092</v>
      </c>
      <c r="Q3" s="5">
        <f aca="true" t="shared" si="9" ref="Q3:Q26">ROUND(J3*Q$28,5)</f>
        <v>0</v>
      </c>
      <c r="R3" s="6">
        <f aca="true" t="shared" si="10" ref="R3:R26">ROUND(Q3,0)</f>
        <v>0</v>
      </c>
      <c r="S3" s="5">
        <f aca="true" t="shared" si="11" ref="S3:S26">ROUND(J3*S$28,5)</f>
        <v>0</v>
      </c>
      <c r="T3" s="6">
        <f aca="true" t="shared" si="12" ref="T3:T26">ROUND(S3,0)</f>
        <v>0</v>
      </c>
      <c r="U3" s="6">
        <f aca="true" t="shared" si="13" ref="U3:U26">P3-R3-T3</f>
        <v>71117.14965033092</v>
      </c>
    </row>
    <row r="4" spans="1:21" ht="15">
      <c r="A4" s="16">
        <v>40</v>
      </c>
      <c r="B4" s="17" t="s">
        <v>17</v>
      </c>
      <c r="C4" s="18">
        <v>7187550000</v>
      </c>
      <c r="D4" s="19">
        <f t="shared" si="1"/>
        <v>0.064159553</v>
      </c>
      <c r="E4" s="20">
        <v>13.9</v>
      </c>
      <c r="F4" s="19">
        <f t="shared" si="2"/>
        <v>0.03729241</v>
      </c>
      <c r="G4" s="19">
        <f t="shared" si="3"/>
        <v>0.044009195749999994</v>
      </c>
      <c r="H4" s="19">
        <f t="shared" si="4"/>
        <v>0.057442767</v>
      </c>
      <c r="I4" s="19">
        <f t="shared" si="5"/>
        <v>0.044009195749999994</v>
      </c>
      <c r="J4" s="19">
        <f t="shared" si="6"/>
        <v>0.051395349249413275</v>
      </c>
      <c r="K4" s="20">
        <f t="shared" si="7"/>
        <v>85814.35208</v>
      </c>
      <c r="L4" s="21">
        <f>SUM(M4/M27)</f>
        <v>0.05139534932271456</v>
      </c>
      <c r="M4" s="30">
        <v>102874.26748342789</v>
      </c>
      <c r="N4" s="30">
        <f t="shared" si="0"/>
        <v>3175.15328</v>
      </c>
      <c r="O4" s="50">
        <v>4401</v>
      </c>
      <c r="P4" s="48">
        <f t="shared" si="8"/>
        <v>107275.26748342789</v>
      </c>
      <c r="Q4">
        <f t="shared" si="9"/>
        <v>0</v>
      </c>
      <c r="R4" s="2">
        <f t="shared" si="10"/>
        <v>0</v>
      </c>
      <c r="S4">
        <f t="shared" si="11"/>
        <v>0</v>
      </c>
      <c r="T4" s="2">
        <f t="shared" si="12"/>
        <v>0</v>
      </c>
      <c r="U4" s="2">
        <f t="shared" si="13"/>
        <v>107275.26748342789</v>
      </c>
    </row>
    <row r="5" spans="1:21" s="5" customFormat="1" ht="15">
      <c r="A5" s="12">
        <v>50</v>
      </c>
      <c r="B5" s="4" t="s">
        <v>18</v>
      </c>
      <c r="C5" s="14">
        <v>5111198800</v>
      </c>
      <c r="D5" s="9">
        <f t="shared" si="1"/>
        <v>0.045625036</v>
      </c>
      <c r="E5" s="10">
        <v>18.93</v>
      </c>
      <c r="F5" s="9">
        <f t="shared" si="2"/>
        <v>0.050787433</v>
      </c>
      <c r="G5" s="9">
        <f t="shared" si="3"/>
        <v>0.049496833750000004</v>
      </c>
      <c r="H5" s="9">
        <f t="shared" si="4"/>
        <v>0.046915635</v>
      </c>
      <c r="I5" s="9">
        <f t="shared" si="5"/>
        <v>0.046915635</v>
      </c>
      <c r="J5" s="9">
        <f t="shared" si="6"/>
        <v>0.05478958215415689</v>
      </c>
      <c r="K5" s="10">
        <f t="shared" si="7"/>
        <v>91481.67222</v>
      </c>
      <c r="L5" s="11">
        <f>SUM(M5/M27)</f>
        <v>0.054789582875815125</v>
      </c>
      <c r="M5" s="31">
        <v>109668.25361338635</v>
      </c>
      <c r="N5" s="31">
        <f t="shared" si="0"/>
        <v>3384.8456</v>
      </c>
      <c r="O5" s="50">
        <v>4691</v>
      </c>
      <c r="P5" s="49">
        <f t="shared" si="8"/>
        <v>114359.25361338635</v>
      </c>
      <c r="Q5" s="5">
        <f t="shared" si="9"/>
        <v>0</v>
      </c>
      <c r="R5" s="6">
        <f t="shared" si="10"/>
        <v>0</v>
      </c>
      <c r="S5" s="5">
        <f t="shared" si="11"/>
        <v>0</v>
      </c>
      <c r="T5" s="6">
        <f t="shared" si="12"/>
        <v>0</v>
      </c>
      <c r="U5" s="6">
        <f t="shared" si="13"/>
        <v>114359.25361338635</v>
      </c>
    </row>
    <row r="6" spans="1:21" ht="15">
      <c r="A6" s="16">
        <v>73</v>
      </c>
      <c r="B6" s="17" t="s">
        <v>19</v>
      </c>
      <c r="C6" s="18">
        <v>5319862700</v>
      </c>
      <c r="D6" s="19">
        <f t="shared" si="1"/>
        <v>0.047487671</v>
      </c>
      <c r="E6" s="20">
        <v>10.45</v>
      </c>
      <c r="F6" s="19">
        <f t="shared" si="2"/>
        <v>0.02803638</v>
      </c>
      <c r="G6" s="19">
        <f t="shared" si="3"/>
        <v>0.03289920275</v>
      </c>
      <c r="H6" s="19">
        <f t="shared" si="4"/>
        <v>0.042624848</v>
      </c>
      <c r="I6" s="19">
        <f t="shared" si="5"/>
        <v>0.03289920275</v>
      </c>
      <c r="J6" s="19">
        <f t="shared" si="6"/>
        <v>0.03842074335938093</v>
      </c>
      <c r="K6" s="20">
        <f t="shared" si="7"/>
        <v>64150.7694</v>
      </c>
      <c r="L6" s="21">
        <f>SUM(M6/M27)</f>
        <v>0.03842074370026645</v>
      </c>
      <c r="M6" s="30">
        <v>76903.95952978954</v>
      </c>
      <c r="N6" s="30">
        <f t="shared" si="0"/>
        <v>2373.5951</v>
      </c>
      <c r="O6" s="50">
        <v>3290</v>
      </c>
      <c r="P6" s="48">
        <f t="shared" si="8"/>
        <v>80193.95952978954</v>
      </c>
      <c r="Q6">
        <f t="shared" si="9"/>
        <v>0</v>
      </c>
      <c r="R6" s="2">
        <f t="shared" si="10"/>
        <v>0</v>
      </c>
      <c r="S6">
        <f t="shared" si="11"/>
        <v>0</v>
      </c>
      <c r="T6" s="2">
        <f t="shared" si="12"/>
        <v>0</v>
      </c>
      <c r="U6" s="2">
        <f t="shared" si="13"/>
        <v>80193.95952978954</v>
      </c>
    </row>
    <row r="7" spans="1:21" s="5" customFormat="1" ht="15">
      <c r="A7" s="12">
        <v>78</v>
      </c>
      <c r="B7" s="4" t="s">
        <v>20</v>
      </c>
      <c r="C7" s="14">
        <v>2646446400</v>
      </c>
      <c r="D7" s="9">
        <f t="shared" si="1"/>
        <v>0.023623463</v>
      </c>
      <c r="E7" s="10">
        <v>15.33</v>
      </c>
      <c r="F7" s="9">
        <f t="shared" si="2"/>
        <v>0.041128967</v>
      </c>
      <c r="G7" s="9">
        <f t="shared" si="3"/>
        <v>0.036752591</v>
      </c>
      <c r="H7" s="9">
        <f t="shared" si="4"/>
        <v>0.027999839</v>
      </c>
      <c r="I7" s="9">
        <f t="shared" si="5"/>
        <v>0.027999839</v>
      </c>
      <c r="J7" s="9">
        <f t="shared" si="6"/>
        <v>0.032699109352216295</v>
      </c>
      <c r="K7" s="10">
        <f t="shared" si="7"/>
        <v>54597.40859</v>
      </c>
      <c r="L7" s="11">
        <f>SUM(M7/M27)</f>
        <v>0.032699109046278756</v>
      </c>
      <c r="M7" s="31">
        <v>65451.38684386678</v>
      </c>
      <c r="N7" s="31">
        <f t="shared" si="0"/>
        <v>2020.11828</v>
      </c>
      <c r="O7" s="50">
        <v>2800</v>
      </c>
      <c r="P7" s="49">
        <f t="shared" si="8"/>
        <v>68251.38684386679</v>
      </c>
      <c r="Q7" s="5">
        <f t="shared" si="9"/>
        <v>0</v>
      </c>
      <c r="R7" s="6">
        <f t="shared" si="10"/>
        <v>0</v>
      </c>
      <c r="S7" s="5">
        <f t="shared" si="11"/>
        <v>0</v>
      </c>
      <c r="T7" s="6">
        <f t="shared" si="12"/>
        <v>0</v>
      </c>
      <c r="U7" s="6">
        <f t="shared" si="13"/>
        <v>68251.38684386679</v>
      </c>
    </row>
    <row r="8" spans="1:21" ht="15">
      <c r="A8" s="16">
        <v>99</v>
      </c>
      <c r="B8" s="17" t="s">
        <v>21</v>
      </c>
      <c r="C8" s="18">
        <v>3309738100</v>
      </c>
      <c r="D8" s="19">
        <f t="shared" si="1"/>
        <v>0.029544326</v>
      </c>
      <c r="E8" s="20">
        <v>20.08</v>
      </c>
      <c r="F8" s="19">
        <f t="shared" si="2"/>
        <v>0.053872777</v>
      </c>
      <c r="G8" s="19">
        <f t="shared" si="3"/>
        <v>0.04779066425</v>
      </c>
      <c r="H8" s="19">
        <f t="shared" si="4"/>
        <v>0.035626439</v>
      </c>
      <c r="I8" s="19">
        <f t="shared" si="5"/>
        <v>0.035626439</v>
      </c>
      <c r="J8" s="19">
        <f t="shared" si="6"/>
        <v>0.04160569725744007</v>
      </c>
      <c r="K8" s="20">
        <f t="shared" si="7"/>
        <v>69468.65826</v>
      </c>
      <c r="L8" s="21">
        <f>SUM(M8/M27)</f>
        <v>0.04160569644162864</v>
      </c>
      <c r="M8" s="30">
        <v>83279.04374567138</v>
      </c>
      <c r="N8" s="30">
        <f t="shared" si="0"/>
        <v>2570.35837</v>
      </c>
      <c r="O8" s="50">
        <v>3562</v>
      </c>
      <c r="P8" s="48">
        <f t="shared" si="8"/>
        <v>86841.04374567138</v>
      </c>
      <c r="Q8">
        <f t="shared" si="9"/>
        <v>0</v>
      </c>
      <c r="R8" s="2">
        <f t="shared" si="10"/>
        <v>0</v>
      </c>
      <c r="S8">
        <f t="shared" si="11"/>
        <v>0</v>
      </c>
      <c r="T8" s="2">
        <f t="shared" si="12"/>
        <v>0</v>
      </c>
      <c r="U8" s="2">
        <f t="shared" si="13"/>
        <v>86841.04374567138</v>
      </c>
    </row>
    <row r="9" spans="1:21" s="5" customFormat="1" ht="15">
      <c r="A9" s="12">
        <v>101</v>
      </c>
      <c r="B9" s="4" t="s">
        <v>22</v>
      </c>
      <c r="C9" s="14">
        <v>5401593400</v>
      </c>
      <c r="D9" s="9">
        <f t="shared" si="1"/>
        <v>0.048217239</v>
      </c>
      <c r="E9" s="10">
        <v>26.74</v>
      </c>
      <c r="F9" s="9">
        <f t="shared" si="2"/>
        <v>0.071740938</v>
      </c>
      <c r="G9" s="9">
        <f t="shared" si="3"/>
        <v>0.06586001325</v>
      </c>
      <c r="H9" s="9">
        <f t="shared" si="4"/>
        <v>0.054098164</v>
      </c>
      <c r="I9" s="9">
        <f t="shared" si="5"/>
        <v>0.054098164</v>
      </c>
      <c r="J9" s="9">
        <f t="shared" si="6"/>
        <v>0.06317756971353053</v>
      </c>
      <c r="K9" s="10">
        <f t="shared" si="7"/>
        <v>105487.01955</v>
      </c>
      <c r="L9" s="11">
        <f>SUM(M9/M27)</f>
        <v>0.06317756980467168</v>
      </c>
      <c r="M9" s="31">
        <v>126457.86633784579</v>
      </c>
      <c r="N9" s="31">
        <f t="shared" si="0"/>
        <v>3903.04708</v>
      </c>
      <c r="O9" s="50">
        <v>5410</v>
      </c>
      <c r="P9" s="49">
        <f t="shared" si="8"/>
        <v>131867.8663378458</v>
      </c>
      <c r="Q9" s="5">
        <f t="shared" si="9"/>
        <v>0</v>
      </c>
      <c r="R9" s="6">
        <f t="shared" si="10"/>
        <v>0</v>
      </c>
      <c r="S9" s="5">
        <f t="shared" si="11"/>
        <v>0</v>
      </c>
      <c r="T9" s="6">
        <f t="shared" si="12"/>
        <v>0</v>
      </c>
      <c r="U9" s="6">
        <f t="shared" si="13"/>
        <v>131867.8663378458</v>
      </c>
    </row>
    <row r="10" spans="1:21" ht="15">
      <c r="A10" s="16">
        <v>133</v>
      </c>
      <c r="B10" s="17" t="s">
        <v>23</v>
      </c>
      <c r="C10" s="18">
        <v>1276774300</v>
      </c>
      <c r="D10" s="19">
        <f t="shared" si="1"/>
        <v>0.011397106</v>
      </c>
      <c r="E10" s="20">
        <v>7.35</v>
      </c>
      <c r="F10" s="19">
        <f t="shared" si="2"/>
        <v>0.019719368</v>
      </c>
      <c r="G10" s="19">
        <f t="shared" si="3"/>
        <v>0.017638802500000002</v>
      </c>
      <c r="H10" s="19">
        <f t="shared" si="4"/>
        <v>0.013477672</v>
      </c>
      <c r="I10" s="19">
        <f t="shared" si="5"/>
        <v>0.013477672</v>
      </c>
      <c r="J10" s="19">
        <f t="shared" si="6"/>
        <v>0.015739657308076083</v>
      </c>
      <c r="K10" s="20">
        <f t="shared" si="7"/>
        <v>26280.36415</v>
      </c>
      <c r="L10" s="21">
        <f>SUM(M10/M27)</f>
        <v>0.015739656596643253</v>
      </c>
      <c r="M10" s="30">
        <v>31504.905874912656</v>
      </c>
      <c r="N10" s="30">
        <f t="shared" si="0"/>
        <v>972.38029</v>
      </c>
      <c r="O10" s="50">
        <v>1348</v>
      </c>
      <c r="P10" s="48">
        <f t="shared" si="8"/>
        <v>32852.905874912656</v>
      </c>
      <c r="Q10">
        <f t="shared" si="9"/>
        <v>0</v>
      </c>
      <c r="R10" s="2">
        <f t="shared" si="10"/>
        <v>0</v>
      </c>
      <c r="S10">
        <f t="shared" si="11"/>
        <v>0</v>
      </c>
      <c r="T10" s="2">
        <f t="shared" si="12"/>
        <v>0</v>
      </c>
      <c r="U10" s="2">
        <f t="shared" si="13"/>
        <v>32852.905874912656</v>
      </c>
    </row>
    <row r="11" spans="1:21" s="5" customFormat="1" ht="15">
      <c r="A11" s="12">
        <v>175</v>
      </c>
      <c r="B11" s="4" t="s">
        <v>24</v>
      </c>
      <c r="C11" s="14">
        <v>2801486200</v>
      </c>
      <c r="D11" s="9">
        <f t="shared" si="1"/>
        <v>0.025007423</v>
      </c>
      <c r="E11" s="10">
        <v>14.51</v>
      </c>
      <c r="F11" s="9">
        <f t="shared" si="2"/>
        <v>0.038928983</v>
      </c>
      <c r="G11" s="9">
        <f t="shared" si="3"/>
        <v>0.035448593</v>
      </c>
      <c r="H11" s="9">
        <f t="shared" si="4"/>
        <v>0.028487813</v>
      </c>
      <c r="I11" s="9">
        <f t="shared" si="5"/>
        <v>0.028487813</v>
      </c>
      <c r="J11" s="9">
        <f t="shared" si="6"/>
        <v>0.03326898102851552</v>
      </c>
      <c r="K11" s="10">
        <f t="shared" si="7"/>
        <v>55548.9182</v>
      </c>
      <c r="L11" s="11">
        <f>SUM(M11/M27)</f>
        <v>0.03326898106341065</v>
      </c>
      <c r="M11" s="31">
        <v>66592.05749003042</v>
      </c>
      <c r="N11" s="31">
        <f t="shared" si="0"/>
        <v>2055.32438</v>
      </c>
      <c r="O11" s="50">
        <v>2849</v>
      </c>
      <c r="P11" s="49">
        <f t="shared" si="8"/>
        <v>69441.05749003042</v>
      </c>
      <c r="Q11" s="5">
        <f t="shared" si="9"/>
        <v>0</v>
      </c>
      <c r="R11" s="6">
        <f t="shared" si="10"/>
        <v>0</v>
      </c>
      <c r="S11" s="5">
        <f t="shared" si="11"/>
        <v>0</v>
      </c>
      <c r="T11" s="6">
        <f t="shared" si="12"/>
        <v>0</v>
      </c>
      <c r="U11" s="6">
        <f t="shared" si="13"/>
        <v>69441.05749003042</v>
      </c>
    </row>
    <row r="12" spans="1:21" ht="15">
      <c r="A12" s="16">
        <v>177</v>
      </c>
      <c r="B12" s="17" t="s">
        <v>25</v>
      </c>
      <c r="C12" s="18">
        <v>2081768600</v>
      </c>
      <c r="D12" s="19">
        <f t="shared" si="1"/>
        <v>0.018582875</v>
      </c>
      <c r="E12" s="20">
        <v>11.45</v>
      </c>
      <c r="F12" s="19">
        <f t="shared" si="2"/>
        <v>0.030719287</v>
      </c>
      <c r="G12" s="19">
        <f t="shared" si="3"/>
        <v>0.027685184</v>
      </c>
      <c r="H12" s="19">
        <f t="shared" si="4"/>
        <v>0.021616978</v>
      </c>
      <c r="I12" s="19">
        <f t="shared" si="5"/>
        <v>0.021616978</v>
      </c>
      <c r="J12" s="19">
        <f t="shared" si="6"/>
        <v>0.025244999711835983</v>
      </c>
      <c r="K12" s="20">
        <f t="shared" si="7"/>
        <v>42151.34881</v>
      </c>
      <c r="L12" s="21">
        <f>SUM(M12/M27)</f>
        <v>0.025244999794978774</v>
      </c>
      <c r="M12" s="30">
        <v>50531.04795962419</v>
      </c>
      <c r="N12" s="30">
        <f t="shared" si="0"/>
        <v>1559.61084</v>
      </c>
      <c r="O12" s="50">
        <v>2162</v>
      </c>
      <c r="P12" s="48">
        <f t="shared" si="8"/>
        <v>52693.04795962419</v>
      </c>
      <c r="Q12">
        <f t="shared" si="9"/>
        <v>0</v>
      </c>
      <c r="R12" s="2">
        <f t="shared" si="10"/>
        <v>0</v>
      </c>
      <c r="S12">
        <f t="shared" si="11"/>
        <v>0</v>
      </c>
      <c r="T12" s="2">
        <f t="shared" si="12"/>
        <v>0</v>
      </c>
      <c r="U12" s="2">
        <f t="shared" si="13"/>
        <v>52693.04795962419</v>
      </c>
    </row>
    <row r="13" spans="1:21" s="5" customFormat="1" ht="15">
      <c r="A13" s="12">
        <v>187</v>
      </c>
      <c r="B13" s="4" t="s">
        <v>26</v>
      </c>
      <c r="C13" s="14">
        <v>1247044700</v>
      </c>
      <c r="D13" s="9">
        <f t="shared" si="1"/>
        <v>0.011131725</v>
      </c>
      <c r="E13" s="10">
        <v>12.16</v>
      </c>
      <c r="F13" s="9">
        <f t="shared" si="2"/>
        <v>0.032624152</v>
      </c>
      <c r="G13" s="9">
        <f t="shared" si="3"/>
        <v>0.027251045249999998</v>
      </c>
      <c r="H13" s="9">
        <f t="shared" si="4"/>
        <v>0.016504832</v>
      </c>
      <c r="I13" s="9">
        <f t="shared" si="5"/>
        <v>0.016504832</v>
      </c>
      <c r="J13" s="9">
        <f t="shared" si="6"/>
        <v>0.019274871773654084</v>
      </c>
      <c r="K13" s="10">
        <f t="shared" si="7"/>
        <v>32183.07993</v>
      </c>
      <c r="L13" s="11">
        <f>SUM(M13/M27)</f>
        <v>0.019274871412759065</v>
      </c>
      <c r="M13" s="31">
        <v>38581.08376643529</v>
      </c>
      <c r="N13" s="31">
        <f t="shared" si="0"/>
        <v>1190.7823</v>
      </c>
      <c r="O13" s="50">
        <v>1650</v>
      </c>
      <c r="P13" s="49">
        <f t="shared" si="8"/>
        <v>40231.08376643529</v>
      </c>
      <c r="Q13" s="5">
        <f t="shared" si="9"/>
        <v>0</v>
      </c>
      <c r="R13" s="6">
        <f t="shared" si="10"/>
        <v>0</v>
      </c>
      <c r="S13" s="5">
        <f t="shared" si="11"/>
        <v>0</v>
      </c>
      <c r="T13" s="6">
        <f t="shared" si="12"/>
        <v>0</v>
      </c>
      <c r="U13" s="6">
        <f t="shared" si="13"/>
        <v>40231.08376643529</v>
      </c>
    </row>
    <row r="14" spans="1:21" ht="15">
      <c r="A14" s="22">
        <v>189</v>
      </c>
      <c r="B14" s="23" t="s">
        <v>27</v>
      </c>
      <c r="C14" s="18">
        <v>6039459500</v>
      </c>
      <c r="D14" s="19">
        <f t="shared" si="1"/>
        <v>0.053911141</v>
      </c>
      <c r="E14" s="20">
        <v>13.04</v>
      </c>
      <c r="F14" s="19">
        <f t="shared" si="2"/>
        <v>0.03498511</v>
      </c>
      <c r="G14" s="19">
        <f t="shared" si="3"/>
        <v>0.03971661775</v>
      </c>
      <c r="H14" s="19">
        <f t="shared" si="4"/>
        <v>0.049179633</v>
      </c>
      <c r="I14" s="19">
        <f>MIN(H14,G14)</f>
        <v>0.03971661775</v>
      </c>
      <c r="J14" s="19">
        <f t="shared" si="6"/>
        <v>0.04638233908800064</v>
      </c>
      <c r="K14" s="20">
        <f t="shared" si="7"/>
        <v>77444.17413</v>
      </c>
      <c r="L14" s="21">
        <f>SUM(M14/M27)</f>
        <v>0.046382339008623354</v>
      </c>
      <c r="M14" s="30">
        <v>92840.09570047475</v>
      </c>
      <c r="N14" s="30">
        <f t="shared" si="0"/>
        <v>2865.45453</v>
      </c>
      <c r="O14" s="50">
        <v>3971</v>
      </c>
      <c r="P14" s="48">
        <f t="shared" si="8"/>
        <v>96811.09570047475</v>
      </c>
      <c r="Q14">
        <f>ROUND(J14*Q$28,5)</f>
        <v>0</v>
      </c>
      <c r="R14" s="2">
        <f t="shared" si="10"/>
        <v>0</v>
      </c>
      <c r="S14">
        <f>ROUND(J14*S$28,5)</f>
        <v>0</v>
      </c>
      <c r="T14" s="2">
        <f t="shared" si="12"/>
        <v>0</v>
      </c>
      <c r="U14" s="2">
        <f t="shared" si="13"/>
        <v>96811.09570047475</v>
      </c>
    </row>
    <row r="15" spans="1:21" s="5" customFormat="1" ht="15">
      <c r="A15" s="12">
        <v>199</v>
      </c>
      <c r="B15" s="4" t="s">
        <v>28</v>
      </c>
      <c r="C15" s="14">
        <v>10352941600</v>
      </c>
      <c r="D15" s="9">
        <f t="shared" si="1"/>
        <v>0.092415372</v>
      </c>
      <c r="E15" s="10">
        <v>12.61</v>
      </c>
      <c r="F15" s="9">
        <f t="shared" si="2"/>
        <v>0.03383146</v>
      </c>
      <c r="G15" s="9">
        <f t="shared" si="3"/>
        <v>0.048477438</v>
      </c>
      <c r="H15" s="9">
        <f t="shared" si="4"/>
        <v>0.077769394</v>
      </c>
      <c r="I15" s="9">
        <f t="shared" si="5"/>
        <v>0.048477438</v>
      </c>
      <c r="J15" s="9">
        <f t="shared" si="6"/>
        <v>0.05661350575184684</v>
      </c>
      <c r="K15" s="10">
        <f t="shared" si="7"/>
        <v>94527.06103</v>
      </c>
      <c r="L15" s="11">
        <f>SUM(M15/M27)</f>
        <v>0.05661350550260514</v>
      </c>
      <c r="M15" s="31">
        <v>113319.06456515755</v>
      </c>
      <c r="N15" s="31">
        <f t="shared" si="0"/>
        <v>3497.52577</v>
      </c>
      <c r="O15" s="50">
        <v>4848</v>
      </c>
      <c r="P15" s="49">
        <f t="shared" si="8"/>
        <v>118167.06456515755</v>
      </c>
      <c r="Q15" s="5">
        <f t="shared" si="9"/>
        <v>0</v>
      </c>
      <c r="R15" s="6">
        <f t="shared" si="10"/>
        <v>0</v>
      </c>
      <c r="S15" s="5">
        <f t="shared" si="11"/>
        <v>0</v>
      </c>
      <c r="T15" s="6">
        <f t="shared" si="12"/>
        <v>0</v>
      </c>
      <c r="U15" s="6">
        <f t="shared" si="13"/>
        <v>118167.06456515755</v>
      </c>
    </row>
    <row r="16" spans="1:21" ht="15">
      <c r="A16" s="16">
        <v>208</v>
      </c>
      <c r="B16" s="17" t="s">
        <v>29</v>
      </c>
      <c r="C16" s="18">
        <v>1805854300</v>
      </c>
      <c r="D16" s="19">
        <f t="shared" si="1"/>
        <v>0.01611993</v>
      </c>
      <c r="E16" s="20">
        <v>14.84</v>
      </c>
      <c r="F16" s="19">
        <f t="shared" si="2"/>
        <v>0.039814343</v>
      </c>
      <c r="G16" s="19">
        <f t="shared" si="3"/>
        <v>0.03389073975</v>
      </c>
      <c r="H16" s="19">
        <f t="shared" si="4"/>
        <v>0.022043533</v>
      </c>
      <c r="I16" s="19">
        <f t="shared" si="5"/>
        <v>0.022043533</v>
      </c>
      <c r="J16" s="19">
        <f t="shared" si="6"/>
        <v>0.025743144311515097</v>
      </c>
      <c r="K16" s="20">
        <f t="shared" si="7"/>
        <v>42983.09637</v>
      </c>
      <c r="L16" s="21">
        <f>SUM(M16/M27)</f>
        <v>0.025743144779681777</v>
      </c>
      <c r="M16" s="30">
        <v>51528.14791277533</v>
      </c>
      <c r="N16" s="30">
        <f t="shared" si="0"/>
        <v>1590.38571</v>
      </c>
      <c r="O16" s="50">
        <v>2204</v>
      </c>
      <c r="P16" s="48">
        <f t="shared" si="8"/>
        <v>53732.14791277533</v>
      </c>
      <c r="Q16">
        <f t="shared" si="9"/>
        <v>0</v>
      </c>
      <c r="R16" s="2">
        <f t="shared" si="10"/>
        <v>0</v>
      </c>
      <c r="S16">
        <f t="shared" si="11"/>
        <v>0</v>
      </c>
      <c r="T16" s="2">
        <f t="shared" si="12"/>
        <v>0</v>
      </c>
      <c r="U16" s="2">
        <f t="shared" si="13"/>
        <v>53732.14791277533</v>
      </c>
    </row>
    <row r="17" spans="1:21" s="5" customFormat="1" ht="15">
      <c r="A17" s="12">
        <v>220</v>
      </c>
      <c r="B17" s="4" t="s">
        <v>30</v>
      </c>
      <c r="C17" s="14">
        <v>5454226400</v>
      </c>
      <c r="D17" s="9">
        <f t="shared" si="1"/>
        <v>0.048687067</v>
      </c>
      <c r="E17" s="10">
        <v>10.48</v>
      </c>
      <c r="F17" s="9">
        <f t="shared" si="2"/>
        <v>0.028116867</v>
      </c>
      <c r="G17" s="9">
        <f t="shared" si="3"/>
        <v>0.033259417</v>
      </c>
      <c r="H17" s="9">
        <f t="shared" si="4"/>
        <v>0.043544517</v>
      </c>
      <c r="I17" s="9">
        <f t="shared" si="5"/>
        <v>0.033259417</v>
      </c>
      <c r="J17" s="9">
        <f t="shared" si="6"/>
        <v>0.038841413105052555</v>
      </c>
      <c r="K17" s="10">
        <f t="shared" si="7"/>
        <v>64853.15789</v>
      </c>
      <c r="L17" s="11">
        <f>SUM(M17/M27)</f>
        <v>0.03884141348125582</v>
      </c>
      <c r="M17" s="31">
        <v>77745.98310083218</v>
      </c>
      <c r="N17" s="31">
        <f t="shared" si="0"/>
        <v>2399.58366</v>
      </c>
      <c r="O17" s="50">
        <v>3326</v>
      </c>
      <c r="P17" s="49">
        <f t="shared" si="8"/>
        <v>81071.98310083218</v>
      </c>
      <c r="Q17" s="5">
        <f t="shared" si="9"/>
        <v>0</v>
      </c>
      <c r="R17" s="6">
        <f t="shared" si="10"/>
        <v>0</v>
      </c>
      <c r="S17" s="5">
        <f t="shared" si="11"/>
        <v>0</v>
      </c>
      <c r="T17" s="6">
        <f t="shared" si="12"/>
        <v>0</v>
      </c>
      <c r="U17" s="6">
        <f t="shared" si="13"/>
        <v>81071.98310083218</v>
      </c>
    </row>
    <row r="18" spans="1:21" ht="15">
      <c r="A18" s="16">
        <v>238</v>
      </c>
      <c r="B18" s="17" t="s">
        <v>31</v>
      </c>
      <c r="C18" s="18">
        <v>1485020600</v>
      </c>
      <c r="D18" s="19">
        <f t="shared" si="1"/>
        <v>0.013256013</v>
      </c>
      <c r="E18" s="20">
        <v>11.06</v>
      </c>
      <c r="F18" s="19">
        <f t="shared" si="2"/>
        <v>0.029672954</v>
      </c>
      <c r="G18" s="19">
        <f t="shared" si="3"/>
        <v>0.02556871875</v>
      </c>
      <c r="H18" s="19">
        <f t="shared" si="4"/>
        <v>0.017360248</v>
      </c>
      <c r="I18" s="19">
        <f t="shared" si="5"/>
        <v>0.017360248</v>
      </c>
      <c r="J18" s="19">
        <f t="shared" si="6"/>
        <v>0.020273853993717405</v>
      </c>
      <c r="K18" s="20">
        <f t="shared" si="7"/>
        <v>33851.07155</v>
      </c>
      <c r="L18" s="21">
        <f>SUM(M18/M27)</f>
        <v>0.020273854380723832</v>
      </c>
      <c r="M18" s="30">
        <v>40580.67404867073</v>
      </c>
      <c r="N18" s="30">
        <f t="shared" si="0"/>
        <v>1252.49843</v>
      </c>
      <c r="O18" s="50">
        <v>1736</v>
      </c>
      <c r="P18" s="48">
        <f t="shared" si="8"/>
        <v>42316.67404867073</v>
      </c>
      <c r="Q18">
        <f t="shared" si="9"/>
        <v>0</v>
      </c>
      <c r="R18" s="2">
        <f t="shared" si="10"/>
        <v>0</v>
      </c>
      <c r="S18">
        <f t="shared" si="11"/>
        <v>0</v>
      </c>
      <c r="T18" s="2">
        <f t="shared" si="12"/>
        <v>0</v>
      </c>
      <c r="U18" s="2">
        <f t="shared" si="13"/>
        <v>42316.67404867073</v>
      </c>
    </row>
    <row r="19" spans="1:21" s="5" customFormat="1" ht="15">
      <c r="A19" s="12">
        <v>243</v>
      </c>
      <c r="B19" s="4" t="s">
        <v>32</v>
      </c>
      <c r="C19" s="14">
        <v>15986795000</v>
      </c>
      <c r="D19" s="9">
        <f t="shared" si="1"/>
        <v>0.142705876</v>
      </c>
      <c r="E19" s="10">
        <v>16.78</v>
      </c>
      <c r="F19" s="9">
        <f t="shared" si="2"/>
        <v>0.045019183</v>
      </c>
      <c r="G19" s="9">
        <f t="shared" si="3"/>
        <v>0.06944085625</v>
      </c>
      <c r="H19" s="9">
        <f t="shared" si="4"/>
        <v>0.118284203</v>
      </c>
      <c r="I19" s="9">
        <f t="shared" si="5"/>
        <v>0.06944085625</v>
      </c>
      <c r="J19" s="9">
        <f t="shared" si="6"/>
        <v>0.08109525744166896</v>
      </c>
      <c r="K19" s="10">
        <f t="shared" si="7"/>
        <v>135404.02149</v>
      </c>
      <c r="L19" s="11">
        <f>SUM(M19/M27)</f>
        <v>0.08109525736838102</v>
      </c>
      <c r="M19" s="31">
        <v>162322.37562524306</v>
      </c>
      <c r="N19" s="31">
        <f t="shared" si="0"/>
        <v>5009.98391</v>
      </c>
      <c r="O19" s="50">
        <v>6944</v>
      </c>
      <c r="P19" s="49">
        <f t="shared" si="8"/>
        <v>169266.37562524306</v>
      </c>
      <c r="Q19" s="5">
        <f t="shared" si="9"/>
        <v>0</v>
      </c>
      <c r="R19" s="6">
        <f t="shared" si="10"/>
        <v>0</v>
      </c>
      <c r="S19" s="5">
        <f t="shared" si="11"/>
        <v>0</v>
      </c>
      <c r="T19" s="6">
        <f t="shared" si="12"/>
        <v>0</v>
      </c>
      <c r="U19" s="6">
        <f t="shared" si="13"/>
        <v>169266.37562524306</v>
      </c>
    </row>
    <row r="20" spans="1:21" ht="15">
      <c r="A20" s="16">
        <v>244</v>
      </c>
      <c r="B20" s="17" t="s">
        <v>33</v>
      </c>
      <c r="C20" s="18">
        <v>3647034600</v>
      </c>
      <c r="D20" s="19">
        <f t="shared" si="1"/>
        <v>0.032555197</v>
      </c>
      <c r="E20" s="20">
        <v>10.07</v>
      </c>
      <c r="F20" s="19">
        <f t="shared" si="2"/>
        <v>0.027016875</v>
      </c>
      <c r="G20" s="19">
        <f t="shared" si="3"/>
        <v>0.0284014555</v>
      </c>
      <c r="H20" s="19">
        <f t="shared" si="4"/>
        <v>0.031170617</v>
      </c>
      <c r="I20" s="19">
        <f t="shared" si="5"/>
        <v>0.0284014555</v>
      </c>
      <c r="J20" s="19">
        <f t="shared" si="6"/>
        <v>0.03316812997234037</v>
      </c>
      <c r="K20" s="20">
        <f t="shared" si="7"/>
        <v>55380.5281</v>
      </c>
      <c r="L20" s="21">
        <f>SUM(M20/M27)</f>
        <v>0.03316813055879487</v>
      </c>
      <c r="M20" s="30">
        <v>66390.19249787835</v>
      </c>
      <c r="N20" s="30">
        <f t="shared" si="0"/>
        <v>2049.0939</v>
      </c>
      <c r="O20" s="50">
        <v>2840</v>
      </c>
      <c r="P20" s="48">
        <f t="shared" si="8"/>
        <v>69230.19249787835</v>
      </c>
      <c r="Q20">
        <f t="shared" si="9"/>
        <v>0</v>
      </c>
      <c r="R20" s="2">
        <f t="shared" si="10"/>
        <v>0</v>
      </c>
      <c r="S20">
        <f t="shared" si="11"/>
        <v>0</v>
      </c>
      <c r="T20" s="2">
        <f t="shared" si="12"/>
        <v>0</v>
      </c>
      <c r="U20" s="2">
        <f t="shared" si="13"/>
        <v>69230.19249787835</v>
      </c>
    </row>
    <row r="21" spans="1:21" s="5" customFormat="1" ht="15">
      <c r="A21" s="12">
        <v>266</v>
      </c>
      <c r="B21" s="4" t="s">
        <v>34</v>
      </c>
      <c r="C21" s="14">
        <v>3666373500</v>
      </c>
      <c r="D21" s="9">
        <f t="shared" si="1"/>
        <v>0.032727826</v>
      </c>
      <c r="E21" s="10">
        <v>23.31</v>
      </c>
      <c r="F21" s="9">
        <f t="shared" si="2"/>
        <v>0.062538567</v>
      </c>
      <c r="G21" s="9">
        <f t="shared" si="3"/>
        <v>0.05508588175000001</v>
      </c>
      <c r="H21" s="9">
        <f t="shared" si="4"/>
        <v>0.040180511</v>
      </c>
      <c r="I21" s="9">
        <f t="shared" si="5"/>
        <v>0.040180511</v>
      </c>
      <c r="J21" s="9">
        <f t="shared" si="6"/>
        <v>0.0469240884926849</v>
      </c>
      <c r="K21" s="10">
        <f t="shared" si="7"/>
        <v>78348.72824</v>
      </c>
      <c r="L21" s="11">
        <f>SUM(M21/M27)</f>
        <v>0.04692408863106867</v>
      </c>
      <c r="M21" s="31">
        <v>93924.47583025148</v>
      </c>
      <c r="N21" s="31">
        <f t="shared" si="0"/>
        <v>2898.92326</v>
      </c>
      <c r="O21" s="50">
        <v>4018</v>
      </c>
      <c r="P21" s="49">
        <f t="shared" si="8"/>
        <v>97942.47583025148</v>
      </c>
      <c r="Q21" s="5">
        <f t="shared" si="9"/>
        <v>0</v>
      </c>
      <c r="R21" s="6">
        <f t="shared" si="10"/>
        <v>0</v>
      </c>
      <c r="S21" s="5">
        <f t="shared" si="11"/>
        <v>0</v>
      </c>
      <c r="T21" s="6">
        <f t="shared" si="12"/>
        <v>0</v>
      </c>
      <c r="U21" s="6">
        <f t="shared" si="13"/>
        <v>97942.47583025148</v>
      </c>
    </row>
    <row r="22" spans="1:21" ht="15">
      <c r="A22" s="16">
        <v>285</v>
      </c>
      <c r="B22" s="17" t="s">
        <v>35</v>
      </c>
      <c r="C22" s="18">
        <v>4014565300</v>
      </c>
      <c r="D22" s="19">
        <f t="shared" si="1"/>
        <v>0.035835955</v>
      </c>
      <c r="E22" s="20">
        <v>16.04</v>
      </c>
      <c r="F22" s="19">
        <f t="shared" si="2"/>
        <v>0.043033831</v>
      </c>
      <c r="G22" s="19">
        <f t="shared" si="3"/>
        <v>0.041234362000000004</v>
      </c>
      <c r="H22" s="19">
        <f t="shared" si="4"/>
        <v>0.037635424</v>
      </c>
      <c r="I22" s="19">
        <f t="shared" si="5"/>
        <v>0.037635424</v>
      </c>
      <c r="J22" s="19">
        <f t="shared" si="6"/>
        <v>0.04395185432648473</v>
      </c>
      <c r="K22" s="20">
        <f t="shared" si="7"/>
        <v>73386.0156</v>
      </c>
      <c r="L22" s="21">
        <f>SUM(M22/M27)</f>
        <v>0.04395185407789056</v>
      </c>
      <c r="M22" s="30">
        <v>87975.17387051179</v>
      </c>
      <c r="N22" s="30">
        <f t="shared" si="0"/>
        <v>2715.30161</v>
      </c>
      <c r="O22" s="50">
        <v>3763</v>
      </c>
      <c r="P22" s="48">
        <f t="shared" si="8"/>
        <v>91738.17387051179</v>
      </c>
      <c r="Q22">
        <f t="shared" si="9"/>
        <v>0</v>
      </c>
      <c r="R22" s="2">
        <f t="shared" si="10"/>
        <v>0</v>
      </c>
      <c r="S22">
        <f t="shared" si="11"/>
        <v>0</v>
      </c>
      <c r="T22" s="2">
        <f t="shared" si="12"/>
        <v>0</v>
      </c>
      <c r="U22" s="2">
        <f t="shared" si="13"/>
        <v>91738.17387051179</v>
      </c>
    </row>
    <row r="23" spans="1:21" s="5" customFormat="1" ht="15">
      <c r="A23" s="12">
        <v>307</v>
      </c>
      <c r="B23" s="4" t="s">
        <v>36</v>
      </c>
      <c r="C23" s="14">
        <v>4736050400</v>
      </c>
      <c r="D23" s="9">
        <f t="shared" si="1"/>
        <v>0.04227628</v>
      </c>
      <c r="E23" s="10">
        <v>20.54</v>
      </c>
      <c r="F23" s="9">
        <f t="shared" si="2"/>
        <v>0.055106914</v>
      </c>
      <c r="G23" s="9">
        <f t="shared" si="3"/>
        <v>0.0518992555</v>
      </c>
      <c r="H23" s="9">
        <f t="shared" si="4"/>
        <v>0.045483939</v>
      </c>
      <c r="I23" s="9">
        <f t="shared" si="5"/>
        <v>0.045483939</v>
      </c>
      <c r="J23" s="9">
        <f t="shared" si="6"/>
        <v>0.05311760168087165</v>
      </c>
      <c r="K23" s="10">
        <f t="shared" si="7"/>
        <v>88689.98147</v>
      </c>
      <c r="L23" s="11">
        <f>SUM(M23/M27)</f>
        <v>0.05311760110722785</v>
      </c>
      <c r="M23" s="31">
        <v>106321.57143385608</v>
      </c>
      <c r="N23" s="31">
        <f t="shared" si="0"/>
        <v>3281.55231</v>
      </c>
      <c r="O23" s="50">
        <v>4548</v>
      </c>
      <c r="P23" s="49">
        <f t="shared" si="8"/>
        <v>110869.57143385608</v>
      </c>
      <c r="Q23" s="5">
        <f t="shared" si="9"/>
        <v>0</v>
      </c>
      <c r="R23" s="6">
        <f t="shared" si="10"/>
        <v>0</v>
      </c>
      <c r="S23" s="5">
        <f t="shared" si="11"/>
        <v>0</v>
      </c>
      <c r="T23" s="6">
        <f t="shared" si="12"/>
        <v>0</v>
      </c>
      <c r="U23" s="6">
        <f t="shared" si="13"/>
        <v>110869.57143385608</v>
      </c>
    </row>
    <row r="24" spans="1:21" ht="15">
      <c r="A24" s="16">
        <v>335</v>
      </c>
      <c r="B24" s="17" t="s">
        <v>37</v>
      </c>
      <c r="C24" s="18">
        <v>4713941600</v>
      </c>
      <c r="D24" s="19">
        <f t="shared" si="1"/>
        <v>0.042078926</v>
      </c>
      <c r="E24" s="20">
        <v>10.97</v>
      </c>
      <c r="F24" s="19">
        <f t="shared" si="2"/>
        <v>0.029431492</v>
      </c>
      <c r="G24" s="19">
        <f t="shared" si="3"/>
        <v>0.0325933505</v>
      </c>
      <c r="H24" s="19">
        <f t="shared" si="4"/>
        <v>0.038917068</v>
      </c>
      <c r="I24" s="19">
        <f t="shared" si="5"/>
        <v>0.0325933505</v>
      </c>
      <c r="J24" s="19">
        <f t="shared" si="6"/>
        <v>0.03806355929955932</v>
      </c>
      <c r="K24" s="20">
        <f t="shared" si="7"/>
        <v>63554.38239</v>
      </c>
      <c r="L24" s="21">
        <f>SUM(M24/M27)</f>
        <v>0.03806355934300156</v>
      </c>
      <c r="M24" s="30">
        <v>76189.01003349487</v>
      </c>
      <c r="N24" s="30">
        <f t="shared" si="0"/>
        <v>2351.52863</v>
      </c>
      <c r="O24" s="50">
        <v>3259</v>
      </c>
      <c r="P24" s="48">
        <f t="shared" si="8"/>
        <v>79448.01003349487</v>
      </c>
      <c r="Q24">
        <f t="shared" si="9"/>
        <v>0</v>
      </c>
      <c r="R24" s="2">
        <f t="shared" si="10"/>
        <v>0</v>
      </c>
      <c r="S24">
        <f t="shared" si="11"/>
        <v>0</v>
      </c>
      <c r="T24" s="2">
        <f t="shared" si="12"/>
        <v>0</v>
      </c>
      <c r="U24" s="2">
        <f t="shared" si="13"/>
        <v>79448.01003349487</v>
      </c>
    </row>
    <row r="25" spans="1:21" s="5" customFormat="1" ht="15">
      <c r="A25" s="12">
        <v>336</v>
      </c>
      <c r="B25" s="4" t="s">
        <v>38</v>
      </c>
      <c r="C25" s="14">
        <v>8154408700</v>
      </c>
      <c r="D25" s="9">
        <f t="shared" si="1"/>
        <v>0.072790202</v>
      </c>
      <c r="E25" s="10">
        <v>17.01</v>
      </c>
      <c r="F25" s="9">
        <f t="shared" si="2"/>
        <v>0.045636251</v>
      </c>
      <c r="G25" s="9">
        <f t="shared" si="3"/>
        <v>0.05242473875</v>
      </c>
      <c r="H25" s="9">
        <f t="shared" si="4"/>
        <v>0.066001714</v>
      </c>
      <c r="I25" s="9">
        <f t="shared" si="5"/>
        <v>0.05242473875</v>
      </c>
      <c r="J25" s="9">
        <f t="shared" si="6"/>
        <v>0.061223290074904395</v>
      </c>
      <c r="K25" s="10">
        <f t="shared" si="7"/>
        <v>102223.97643</v>
      </c>
      <c r="L25" s="11">
        <f>SUM(M25/M27)</f>
        <v>0.061223290524177146</v>
      </c>
      <c r="M25" s="31">
        <v>122546.13011874663</v>
      </c>
      <c r="N25" s="31">
        <f t="shared" si="0"/>
        <v>3782.31364</v>
      </c>
      <c r="O25" s="50">
        <v>5242</v>
      </c>
      <c r="P25" s="49">
        <f t="shared" si="8"/>
        <v>127788.13011874663</v>
      </c>
      <c r="Q25" s="5">
        <f t="shared" si="9"/>
        <v>0</v>
      </c>
      <c r="R25" s="6">
        <f t="shared" si="10"/>
        <v>0</v>
      </c>
      <c r="S25" s="5">
        <f t="shared" si="11"/>
        <v>0</v>
      </c>
      <c r="T25" s="6">
        <f t="shared" si="12"/>
        <v>0</v>
      </c>
      <c r="U25" s="6">
        <f t="shared" si="13"/>
        <v>127788.13011874663</v>
      </c>
    </row>
    <row r="26" spans="1:21" ht="15.75" thickBot="1">
      <c r="A26" s="24">
        <v>350</v>
      </c>
      <c r="B26" s="25" t="s">
        <v>39</v>
      </c>
      <c r="C26" s="26">
        <v>2225687600</v>
      </c>
      <c r="D26" s="27">
        <f t="shared" si="1"/>
        <v>0.019867566</v>
      </c>
      <c r="E26" s="28">
        <v>22.2</v>
      </c>
      <c r="F26" s="27">
        <f t="shared" si="2"/>
        <v>0.05956054</v>
      </c>
      <c r="G26" s="27">
        <f t="shared" si="3"/>
        <v>0.049637296500000004</v>
      </c>
      <c r="H26" s="27">
        <f t="shared" si="4"/>
        <v>0.02979081</v>
      </c>
      <c r="I26" s="27">
        <f t="shared" si="5"/>
        <v>0.02979081</v>
      </c>
      <c r="J26" s="27">
        <f t="shared" si="6"/>
        <v>0.03479066268492111</v>
      </c>
      <c r="K26" s="28">
        <f t="shared" si="7"/>
        <v>58089.65637</v>
      </c>
      <c r="L26" s="29">
        <f>SUM(M26/M27)</f>
        <v>0.03479066175519339</v>
      </c>
      <c r="M26" s="32">
        <v>69637.89312640074</v>
      </c>
      <c r="N26" s="32">
        <f t="shared" si="0"/>
        <v>2149.33235</v>
      </c>
      <c r="O26" s="51">
        <v>2979</v>
      </c>
      <c r="P26" s="26">
        <f t="shared" si="8"/>
        <v>72616.89312640074</v>
      </c>
      <c r="Q26">
        <f t="shared" si="9"/>
        <v>0</v>
      </c>
      <c r="R26" s="2">
        <f t="shared" si="10"/>
        <v>0</v>
      </c>
      <c r="S26">
        <f t="shared" si="11"/>
        <v>0</v>
      </c>
      <c r="T26" s="2">
        <f t="shared" si="12"/>
        <v>0</v>
      </c>
      <c r="U26" s="2">
        <f t="shared" si="13"/>
        <v>72616.89312640074</v>
      </c>
    </row>
    <row r="27" spans="3:21" s="5" customFormat="1" ht="15">
      <c r="C27" s="33">
        <f aca="true" t="shared" si="14" ref="C27:U27">SUM(C2:C26)</f>
        <v>112026185800</v>
      </c>
      <c r="D27" s="34">
        <f t="shared" si="14"/>
        <v>1</v>
      </c>
      <c r="E27" s="47">
        <f t="shared" si="14"/>
        <v>372.73</v>
      </c>
      <c r="F27" s="34">
        <f t="shared" si="14"/>
        <v>0.9999999990000001</v>
      </c>
      <c r="G27" s="34">
        <f t="shared" si="14"/>
        <v>0.9999999992499998</v>
      </c>
      <c r="H27" s="34">
        <f t="shared" si="14"/>
        <v>1.0000000009999999</v>
      </c>
      <c r="I27" s="35">
        <f t="shared" si="14"/>
        <v>0.85628751225</v>
      </c>
      <c r="J27" s="34">
        <f t="shared" si="14"/>
        <v>1</v>
      </c>
      <c r="K27" s="34"/>
      <c r="L27" s="36">
        <f>SUM(L2:L26)</f>
        <v>1</v>
      </c>
      <c r="M27" s="33">
        <f>SUM(M2:M26)</f>
        <v>2001626.0000000005</v>
      </c>
      <c r="N27" s="15">
        <f>SUM(N2:N26)</f>
        <v>61779.00001</v>
      </c>
      <c r="O27" s="33">
        <f>SUM(O2:O26)</f>
        <v>85625</v>
      </c>
      <c r="P27" s="33">
        <f>SUM(P2:P26)</f>
        <v>2087251.0000000005</v>
      </c>
      <c r="Q27" s="6">
        <f t="shared" si="14"/>
        <v>0</v>
      </c>
      <c r="R27" s="6">
        <f t="shared" si="14"/>
        <v>0</v>
      </c>
      <c r="S27" s="6">
        <f t="shared" si="14"/>
        <v>0</v>
      </c>
      <c r="T27" s="6">
        <f t="shared" si="14"/>
        <v>0</v>
      </c>
      <c r="U27" s="6">
        <f t="shared" si="14"/>
        <v>2087251.0000000005</v>
      </c>
    </row>
    <row r="28" spans="3:19" s="5" customFormat="1" ht="5.25" customHeight="1">
      <c r="C28" s="37"/>
      <c r="D28" s="37"/>
      <c r="E28" s="37"/>
      <c r="F28" s="37"/>
      <c r="G28" s="37"/>
      <c r="H28" s="37"/>
      <c r="I28" s="37"/>
      <c r="J28" s="37"/>
      <c r="K28" s="38">
        <v>1669691</v>
      </c>
      <c r="L28" s="39"/>
      <c r="M28" s="40"/>
      <c r="N28" s="41">
        <v>61779</v>
      </c>
      <c r="O28" s="40"/>
      <c r="P28" s="38"/>
      <c r="Q28" s="6">
        <f>'[1]Table'!F10</f>
        <v>0</v>
      </c>
      <c r="S28" s="6">
        <f>'[1]Table'!F27</f>
        <v>0</v>
      </c>
    </row>
    <row r="29" spans="3:16" ht="15"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>
        <v>0.957</v>
      </c>
      <c r="N29" s="44"/>
      <c r="O29" s="43">
        <v>0.043</v>
      </c>
      <c r="P29" s="45">
        <v>1</v>
      </c>
    </row>
    <row r="30" spans="2:16" ht="15">
      <c r="B30" t="s">
        <v>46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6"/>
      <c r="N30" s="42"/>
      <c r="O30" s="46"/>
      <c r="P30" s="46"/>
    </row>
    <row r="31" spans="2:16" ht="15">
      <c r="B31" t="s">
        <v>43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6"/>
      <c r="N31" s="42"/>
      <c r="O31" s="46"/>
      <c r="P31" s="46"/>
    </row>
  </sheetData>
  <sheetProtection/>
  <printOptions/>
  <pageMargins left="0.7" right="0.7" top="0.8125" bottom="0.75" header="0.3" footer="0.3"/>
  <pageSetup horizontalDpi="600" verticalDpi="600" orientation="landscape" r:id="rId1"/>
  <headerFooter>
    <oddHeader xml:space="preserve">&amp;C&amp;"Georgia,Regular"&amp;16Norfolk County Mosquito Control District&amp;"-,Regular"&amp;11
FY 2021 Actual Cherry Sheet Assessments based on FY 2021 Proposed Budget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abouchard</dc:creator>
  <cp:keywords/>
  <dc:description/>
  <cp:lastModifiedBy>David.Lawson</cp:lastModifiedBy>
  <cp:lastPrinted>2018-03-27T18:36:02Z</cp:lastPrinted>
  <dcterms:created xsi:type="dcterms:W3CDTF">2012-02-07T20:24:39Z</dcterms:created>
  <dcterms:modified xsi:type="dcterms:W3CDTF">2020-01-29T13:14:15Z</dcterms:modified>
  <cp:category/>
  <cp:version/>
  <cp:contentType/>
  <cp:contentStatus/>
</cp:coreProperties>
</file>